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uio-my.sharepoint.com/personal/krthor_uio_no/Documents/Skrivebord/PMR dokumenter/2026/Møte 1/"/>
    </mc:Choice>
  </mc:AlternateContent>
  <xr:revisionPtr revIDLastSave="0" documentId="8_{9CB93E96-2DDA-4E64-9915-9DA685289ADA}" xr6:coauthVersionLast="47" xr6:coauthVersionMax="47" xr10:uidLastSave="{00000000-0000-0000-0000-000000000000}"/>
  <bookViews>
    <workbookView xWindow="25695" yWindow="0" windowWidth="26010" windowHeight="20985" xr2:uid="{00000000-000D-0000-FFFF-FFFF00000000}"/>
  </bookViews>
  <sheets>
    <sheet name="MiR og LMM" sheetId="1" r:id="rId1"/>
    <sheet name="IKRS" sheetId="2" r:id="rId2"/>
    <sheet name="HUMR" sheetId="3" r:id="rId3"/>
    <sheet name="SERI" sheetId="4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2" i="1" l="1"/>
  <c r="D91" i="1"/>
  <c r="D90" i="1"/>
  <c r="D89" i="1"/>
  <c r="D88" i="1"/>
  <c r="D86" i="1"/>
  <c r="D85" i="1"/>
  <c r="C86" i="1"/>
  <c r="C85" i="1"/>
  <c r="E47" i="1"/>
  <c r="E46" i="1"/>
  <c r="D47" i="1"/>
  <c r="D46" i="1"/>
  <c r="C47" i="1"/>
  <c r="C46" i="1"/>
  <c r="D83" i="1"/>
  <c r="C83" i="1"/>
  <c r="E43" i="1"/>
  <c r="D43" i="1"/>
  <c r="C43" i="1"/>
  <c r="D23" i="1"/>
  <c r="C23" i="1"/>
  <c r="E23" i="1" s="1"/>
  <c r="E6" i="1"/>
  <c r="E8" i="1"/>
  <c r="E9" i="1"/>
  <c r="E10" i="1"/>
  <c r="E12" i="1"/>
  <c r="E13" i="1"/>
  <c r="E14" i="1"/>
  <c r="E16" i="1"/>
  <c r="E18" i="1"/>
  <c r="E19" i="1"/>
  <c r="E20" i="1"/>
  <c r="E21" i="1"/>
  <c r="E22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51" i="1"/>
  <c r="E52" i="1"/>
  <c r="E53" i="1"/>
  <c r="E54" i="1"/>
  <c r="E55" i="1"/>
  <c r="E57" i="1"/>
  <c r="E58" i="1"/>
  <c r="E59" i="1"/>
  <c r="E60" i="1"/>
  <c r="E61" i="1"/>
  <c r="E62" i="1"/>
  <c r="E63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95" i="1"/>
  <c r="E96" i="1"/>
  <c r="E97" i="1"/>
  <c r="E98" i="1"/>
  <c r="E99" i="1"/>
  <c r="E100" i="1"/>
  <c r="E101" i="1"/>
  <c r="E102" i="1"/>
  <c r="E106" i="1"/>
  <c r="E107" i="1"/>
  <c r="E109" i="1"/>
  <c r="E110" i="1"/>
  <c r="E5" i="1"/>
  <c r="D19" i="1"/>
  <c r="H39" i="2"/>
  <c r="G39" i="2"/>
  <c r="E39" i="2"/>
  <c r="D39" i="2"/>
  <c r="I6" i="2"/>
  <c r="I7" i="2"/>
  <c r="I9" i="2"/>
  <c r="I10" i="2"/>
  <c r="I11" i="2"/>
  <c r="I14" i="2"/>
  <c r="I17" i="2"/>
  <c r="I19" i="2"/>
  <c r="I20" i="2"/>
  <c r="I21" i="2"/>
  <c r="I25" i="2"/>
  <c r="I31" i="2"/>
  <c r="I33" i="2"/>
  <c r="I34" i="2"/>
  <c r="I35" i="2"/>
  <c r="I38" i="2"/>
  <c r="I5" i="2"/>
  <c r="F6" i="2"/>
  <c r="F7" i="2"/>
  <c r="F8" i="2"/>
  <c r="F9" i="2"/>
  <c r="F10" i="2"/>
  <c r="F11" i="2"/>
  <c r="F17" i="2"/>
  <c r="F18" i="2"/>
  <c r="F19" i="2"/>
  <c r="F20" i="2"/>
  <c r="F21" i="2"/>
  <c r="F31" i="2"/>
  <c r="F32" i="2"/>
  <c r="F33" i="2"/>
  <c r="F34" i="2"/>
  <c r="F35" i="2"/>
  <c r="F38" i="2"/>
  <c r="F5" i="2"/>
  <c r="I6" i="4"/>
  <c r="I7" i="4"/>
  <c r="I8" i="4"/>
  <c r="I9" i="4"/>
  <c r="I10" i="4"/>
  <c r="I11" i="4"/>
  <c r="I5" i="4"/>
  <c r="F6" i="4"/>
  <c r="F7" i="4"/>
  <c r="F8" i="4"/>
  <c r="F9" i="4"/>
  <c r="F10" i="4"/>
  <c r="F11" i="4"/>
  <c r="F5" i="4"/>
  <c r="H11" i="4"/>
  <c r="G11" i="4"/>
  <c r="E11" i="4"/>
  <c r="D11" i="4"/>
  <c r="F6" i="3"/>
  <c r="F7" i="3"/>
  <c r="F8" i="3"/>
  <c r="F9" i="3"/>
  <c r="F5" i="3"/>
  <c r="I11" i="3"/>
  <c r="I6" i="3"/>
  <c r="I7" i="3"/>
  <c r="I8" i="3"/>
  <c r="I9" i="3"/>
  <c r="I10" i="3"/>
  <c r="I5" i="3"/>
  <c r="H11" i="3"/>
  <c r="G11" i="3"/>
  <c r="E11" i="3"/>
  <c r="F11" i="3" s="1"/>
  <c r="D11" i="3"/>
  <c r="V11" i="3"/>
  <c r="S11" i="3"/>
  <c r="P11" i="3"/>
  <c r="M11" i="3"/>
  <c r="J11" i="3"/>
  <c r="L10" i="3"/>
  <c r="D101" i="1"/>
  <c r="C101" i="1"/>
  <c r="H83" i="1"/>
  <c r="H89" i="1" s="1"/>
  <c r="G83" i="1"/>
  <c r="I53" i="1"/>
  <c r="I54" i="1"/>
  <c r="I55" i="1"/>
  <c r="I56" i="1"/>
  <c r="I57" i="1"/>
  <c r="I58" i="1"/>
  <c r="I59" i="1"/>
  <c r="I60" i="1"/>
  <c r="I61" i="1"/>
  <c r="I62" i="1"/>
  <c r="I63" i="1"/>
  <c r="I64" i="1"/>
  <c r="I66" i="1"/>
  <c r="I67" i="1"/>
  <c r="I68" i="1"/>
  <c r="I69" i="1"/>
  <c r="I70" i="1"/>
  <c r="I71" i="1"/>
  <c r="I72" i="1"/>
  <c r="I73" i="1"/>
  <c r="I74" i="1"/>
  <c r="I76" i="1"/>
  <c r="I77" i="1"/>
  <c r="I78" i="1"/>
  <c r="I79" i="1"/>
  <c r="I80" i="1"/>
  <c r="I81" i="1"/>
  <c r="I82" i="1"/>
  <c r="I51" i="1"/>
  <c r="H43" i="1"/>
  <c r="H88" i="1" s="1"/>
  <c r="G43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27" i="1"/>
  <c r="L85" i="1"/>
  <c r="K85" i="1"/>
  <c r="H86" i="1"/>
  <c r="H85" i="1"/>
  <c r="G86" i="1"/>
  <c r="G85" i="1"/>
  <c r="H47" i="1"/>
  <c r="H46" i="1"/>
  <c r="G47" i="1"/>
  <c r="G46" i="1"/>
  <c r="H23" i="1"/>
  <c r="H91" i="1" s="1"/>
  <c r="G23" i="1"/>
  <c r="AE102" i="1"/>
  <c r="Z102" i="1"/>
  <c r="U102" i="1"/>
  <c r="Q102" i="1"/>
  <c r="Q99" i="1"/>
  <c r="L86" i="1"/>
  <c r="K86" i="1"/>
  <c r="L47" i="1"/>
  <c r="K47" i="1"/>
  <c r="L46" i="1"/>
  <c r="K46" i="1"/>
  <c r="L6" i="4"/>
  <c r="L7" i="4"/>
  <c r="L8" i="4"/>
  <c r="L9" i="4"/>
  <c r="L10" i="4"/>
  <c r="L5" i="4"/>
  <c r="K11" i="4"/>
  <c r="J11" i="4"/>
  <c r="L5" i="3"/>
  <c r="L6" i="3"/>
  <c r="L7" i="3"/>
  <c r="L8" i="3"/>
  <c r="L9" i="3"/>
  <c r="K11" i="3"/>
  <c r="K39" i="2"/>
  <c r="J39" i="2"/>
  <c r="L6" i="2"/>
  <c r="L7" i="2"/>
  <c r="L12" i="2"/>
  <c r="L13" i="2"/>
  <c r="L14" i="2"/>
  <c r="L17" i="2"/>
  <c r="L22" i="2"/>
  <c r="L23" i="2"/>
  <c r="L24" i="2"/>
  <c r="L25" i="2"/>
  <c r="L26" i="2"/>
  <c r="L31" i="2"/>
  <c r="L33" i="2"/>
  <c r="L34" i="2"/>
  <c r="L35" i="2"/>
  <c r="L5" i="2"/>
  <c r="L83" i="1"/>
  <c r="K83" i="1"/>
  <c r="L43" i="1"/>
  <c r="K43" i="1"/>
  <c r="L23" i="1"/>
  <c r="L91" i="1" s="1"/>
  <c r="K23" i="1"/>
  <c r="M27" i="1"/>
  <c r="M28" i="1"/>
  <c r="M29" i="1"/>
  <c r="M30" i="1"/>
  <c r="M31" i="1"/>
  <c r="M32" i="1"/>
  <c r="M33" i="1"/>
  <c r="M35" i="1"/>
  <c r="M37" i="1"/>
  <c r="M38" i="1"/>
  <c r="M39" i="1"/>
  <c r="M40" i="1"/>
  <c r="M41" i="1"/>
  <c r="M42" i="1"/>
  <c r="M51" i="1"/>
  <c r="M52" i="1"/>
  <c r="M53" i="1"/>
  <c r="M54" i="1"/>
  <c r="M55" i="1"/>
  <c r="M57" i="1"/>
  <c r="M58" i="1"/>
  <c r="M59" i="1"/>
  <c r="M60" i="1"/>
  <c r="M61" i="1"/>
  <c r="M62" i="1"/>
  <c r="M63" i="1"/>
  <c r="M65" i="1"/>
  <c r="M66" i="1"/>
  <c r="M67" i="1"/>
  <c r="M68" i="1"/>
  <c r="M69" i="1"/>
  <c r="M70" i="1"/>
  <c r="M71" i="1"/>
  <c r="M72" i="1"/>
  <c r="M73" i="1"/>
  <c r="M74" i="1"/>
  <c r="M76" i="1"/>
  <c r="M77" i="1"/>
  <c r="M78" i="1"/>
  <c r="M79" i="1"/>
  <c r="M80" i="1"/>
  <c r="M81" i="1"/>
  <c r="M82" i="1"/>
  <c r="M95" i="1"/>
  <c r="M96" i="1"/>
  <c r="M99" i="1"/>
  <c r="M101" i="1"/>
  <c r="M102" i="1"/>
  <c r="M6" i="1"/>
  <c r="M8" i="1"/>
  <c r="M9" i="1"/>
  <c r="M10" i="1"/>
  <c r="M12" i="1"/>
  <c r="M13" i="1"/>
  <c r="M14" i="1"/>
  <c r="M16" i="1"/>
  <c r="M17" i="1"/>
  <c r="M20" i="1"/>
  <c r="M21" i="1"/>
  <c r="M22" i="1"/>
  <c r="M5" i="1"/>
  <c r="E86" i="1" l="1"/>
  <c r="E85" i="1"/>
  <c r="E83" i="1"/>
  <c r="I39" i="2"/>
  <c r="F39" i="2"/>
  <c r="I85" i="1"/>
  <c r="I86" i="1"/>
  <c r="I83" i="1"/>
  <c r="H90" i="1"/>
  <c r="H92" i="1" s="1"/>
  <c r="I43" i="1"/>
  <c r="I47" i="1"/>
  <c r="I46" i="1"/>
  <c r="L88" i="1"/>
  <c r="M86" i="1"/>
  <c r="L39" i="2"/>
  <c r="L89" i="1"/>
  <c r="L11" i="3"/>
  <c r="L11" i="4"/>
  <c r="M47" i="1"/>
  <c r="M85" i="1"/>
  <c r="M46" i="1"/>
  <c r="M83" i="1"/>
  <c r="M43" i="1"/>
  <c r="M23" i="1"/>
  <c r="L90" i="1" l="1"/>
  <c r="L92" i="1" s="1"/>
  <c r="M11" i="4"/>
  <c r="N11" i="4"/>
  <c r="X11" i="3"/>
  <c r="U11" i="3"/>
  <c r="R11" i="3"/>
  <c r="W11" i="3"/>
  <c r="T11" i="3"/>
  <c r="Q11" i="3"/>
  <c r="N11" i="3"/>
  <c r="X39" i="2"/>
  <c r="W39" i="2"/>
  <c r="V39" i="2"/>
  <c r="U39" i="2"/>
  <c r="M39" i="2"/>
  <c r="N39" i="2"/>
  <c r="R39" i="2"/>
  <c r="P39" i="2"/>
  <c r="U55" i="1"/>
  <c r="U53" i="1"/>
  <c r="P90" i="1"/>
  <c r="P83" i="1"/>
  <c r="O83" i="1"/>
  <c r="U43" i="1"/>
  <c r="T43" i="1"/>
  <c r="S43" i="1"/>
  <c r="Q43" i="1"/>
  <c r="O43" i="1"/>
  <c r="P43" i="1"/>
  <c r="P23" i="1"/>
  <c r="O23" i="1"/>
  <c r="U40" i="1" l="1"/>
  <c r="Q39" i="2" l="1"/>
  <c r="Q11" i="4" l="1"/>
  <c r="P11" i="4"/>
  <c r="U101" i="1" l="1"/>
  <c r="AD90" i="1"/>
  <c r="Y90" i="1"/>
  <c r="T90" i="1"/>
  <c r="AE86" i="1" l="1"/>
  <c r="AE85" i="1"/>
  <c r="Z86" i="1"/>
  <c r="Z85" i="1"/>
  <c r="U86" i="1"/>
  <c r="U85" i="1"/>
  <c r="AE47" i="1"/>
  <c r="AE46" i="1"/>
  <c r="Z47" i="1"/>
  <c r="Z46" i="1"/>
  <c r="U47" i="1"/>
  <c r="U46" i="1"/>
  <c r="AE43" i="1"/>
  <c r="AD43" i="1"/>
  <c r="AC43" i="1"/>
  <c r="Z43" i="1"/>
  <c r="Y43" i="1"/>
  <c r="X43" i="1"/>
  <c r="AE79" i="1"/>
  <c r="U83" i="1"/>
  <c r="T83" i="1"/>
  <c r="S83" i="1"/>
  <c r="U82" i="1"/>
  <c r="U71" i="1"/>
  <c r="U70" i="1"/>
  <c r="U68" i="1"/>
  <c r="U61" i="1"/>
  <c r="U13" i="1"/>
  <c r="U12" i="1"/>
  <c r="U38" i="1"/>
  <c r="U30" i="1"/>
  <c r="U29" i="1"/>
  <c r="U28" i="1"/>
  <c r="U23" i="1"/>
  <c r="T23" i="1"/>
  <c r="S23" i="1"/>
  <c r="U22" i="1"/>
  <c r="U21" i="1"/>
  <c r="U20" i="1"/>
  <c r="U17" i="1"/>
  <c r="U16" i="1"/>
  <c r="U14" i="1"/>
  <c r="U10" i="1"/>
  <c r="U9" i="1"/>
  <c r="U8" i="1"/>
  <c r="U6" i="1"/>
  <c r="U5" i="1"/>
  <c r="X37" i="2" l="1"/>
  <c r="X36" i="2"/>
  <c r="X30" i="2"/>
  <c r="X17" i="2"/>
  <c r="X16" i="2"/>
  <c r="X15" i="2"/>
  <c r="X7" i="2"/>
  <c r="X5" i="2"/>
  <c r="U38" i="2"/>
  <c r="U36" i="2"/>
  <c r="U30" i="2"/>
  <c r="U27" i="2"/>
  <c r="U17" i="2"/>
  <c r="U16" i="2"/>
  <c r="U15" i="2"/>
  <c r="U7" i="2"/>
  <c r="U6" i="2"/>
  <c r="U5" i="2"/>
  <c r="X8" i="3"/>
  <c r="X7" i="3"/>
  <c r="X6" i="3"/>
  <c r="X5" i="3"/>
  <c r="U8" i="3"/>
  <c r="U6" i="3"/>
  <c r="U5" i="3"/>
  <c r="X11" i="4"/>
  <c r="X10" i="4"/>
  <c r="X8" i="4"/>
  <c r="X5" i="4"/>
  <c r="U11" i="4"/>
  <c r="U10" i="4"/>
  <c r="U8" i="4"/>
  <c r="U5" i="4"/>
  <c r="AE83" i="1"/>
  <c r="AE81" i="1"/>
  <c r="AE80" i="1"/>
  <c r="AE78" i="1"/>
  <c r="AE77" i="1"/>
  <c r="AE76" i="1"/>
  <c r="AE73" i="1"/>
  <c r="AE71" i="1"/>
  <c r="AE70" i="1"/>
  <c r="AE68" i="1"/>
  <c r="AE67" i="1"/>
  <c r="AE63" i="1"/>
  <c r="AE61" i="1"/>
  <c r="AE59" i="1"/>
  <c r="AE58" i="1"/>
  <c r="AE57" i="1"/>
  <c r="Z83" i="1"/>
  <c r="Y83" i="1"/>
  <c r="X83" i="1"/>
  <c r="Z82" i="1"/>
  <c r="Z81" i="1"/>
  <c r="Z80" i="1"/>
  <c r="Z78" i="1"/>
  <c r="Z77" i="1"/>
  <c r="Z76" i="1"/>
  <c r="Z73" i="1"/>
  <c r="Z71" i="1"/>
  <c r="Z70" i="1"/>
  <c r="Z68" i="1"/>
  <c r="Z67" i="1"/>
  <c r="Z63" i="1"/>
  <c r="Z61" i="1"/>
  <c r="Z59" i="1"/>
  <c r="Z58" i="1"/>
  <c r="Z57" i="1"/>
  <c r="Z56" i="1"/>
  <c r="Z54" i="1"/>
  <c r="AE23" i="1"/>
  <c r="Z23" i="1"/>
  <c r="AE101" i="1"/>
  <c r="AE42" i="1"/>
  <c r="AE41" i="1"/>
  <c r="AE40" i="1"/>
  <c r="AE38" i="1"/>
  <c r="AE33" i="1"/>
  <c r="AE31" i="1"/>
  <c r="AE30" i="1"/>
  <c r="AE29" i="1"/>
  <c r="AE28" i="1"/>
  <c r="Z101" i="1"/>
  <c r="Z42" i="1"/>
  <c r="Z41" i="1"/>
  <c r="Z40" i="1"/>
  <c r="Z38" i="1"/>
  <c r="Z33" i="1"/>
  <c r="Z31" i="1"/>
  <c r="Z30" i="1"/>
  <c r="Z28" i="1"/>
  <c r="AE22" i="1"/>
  <c r="AE21" i="1"/>
  <c r="AE20" i="1"/>
  <c r="AE17" i="1"/>
  <c r="AE16" i="1"/>
  <c r="AE14" i="1"/>
  <c r="AE10" i="1"/>
  <c r="AE9" i="1"/>
  <c r="AE8" i="1"/>
  <c r="AE6" i="1"/>
  <c r="AE5" i="1"/>
  <c r="Z22" i="1"/>
  <c r="Z21" i="1"/>
  <c r="Z20" i="1"/>
  <c r="Z17" i="1"/>
  <c r="Z16" i="1"/>
  <c r="Z14" i="1"/>
  <c r="Z10" i="1"/>
  <c r="Z9" i="1"/>
  <c r="Z8" i="1"/>
  <c r="Z6" i="1"/>
  <c r="Z5" i="1"/>
</calcChain>
</file>

<file path=xl/sharedStrings.xml><?xml version="1.0" encoding="utf-8"?>
<sst xmlns="http://schemas.openxmlformats.org/spreadsheetml/2006/main" count="549" uniqueCount="280">
  <si>
    <t xml:space="preserve">Tallene er hentet fra FS582.001 (viser antall oppmeldte ved trekkfrist og antall møtte til eksamen) og Tableau Gjentaksstudenter_JFM5-emner (viser antall og andel gjentaksstudenter av antall møtte) </t>
  </si>
  <si>
    <t>Emne</t>
  </si>
  <si>
    <t>Emnenavn</t>
  </si>
  <si>
    <t>Høst 2025</t>
  </si>
  <si>
    <t>Høst 2024</t>
  </si>
  <si>
    <t>Høst 2023</t>
  </si>
  <si>
    <t>Høst 2022</t>
  </si>
  <si>
    <t>Høst 2021</t>
  </si>
  <si>
    <t>Høst 2020</t>
  </si>
  <si>
    <t>Høst 2019</t>
  </si>
  <si>
    <t>Studieårsemner</t>
  </si>
  <si>
    <t>Oppmeldt</t>
  </si>
  <si>
    <t>Møtt</t>
  </si>
  <si>
    <t>%møtt</t>
  </si>
  <si>
    <t>%gjentak</t>
  </si>
  <si>
    <t>Oppmeldte</t>
  </si>
  <si>
    <t xml:space="preserve">%gjentak </t>
  </si>
  <si>
    <t>JUS1111</t>
  </si>
  <si>
    <t>Privatrett I</t>
  </si>
  <si>
    <t>JUS1211</t>
  </si>
  <si>
    <t>Privatrett II</t>
  </si>
  <si>
    <t>JUS2111</t>
  </si>
  <si>
    <t>Statsforfatningsrett</t>
  </si>
  <si>
    <t>JUS2211</t>
  </si>
  <si>
    <t xml:space="preserve">Forvaltningsrett og </t>
  </si>
  <si>
    <t>JFEXFAC04</t>
  </si>
  <si>
    <t>Ex.fac</t>
  </si>
  <si>
    <t>JUS3112</t>
  </si>
  <si>
    <t>Formuerett I</t>
  </si>
  <si>
    <t>JUS3213</t>
  </si>
  <si>
    <t>Formuerett II</t>
  </si>
  <si>
    <t>JUS3220</t>
  </si>
  <si>
    <t>Rettshistorie</t>
  </si>
  <si>
    <t>JUS4111</t>
  </si>
  <si>
    <t>Metode og etikk</t>
  </si>
  <si>
    <t>JUS4211</t>
  </si>
  <si>
    <t>Prosess og straffere</t>
  </si>
  <si>
    <t>JUS4212</t>
  </si>
  <si>
    <t xml:space="preserve">Sivilprosess </t>
  </si>
  <si>
    <t>JUS4213</t>
  </si>
  <si>
    <t xml:space="preserve">Strafferett og straffeprosess </t>
  </si>
  <si>
    <t>JUS4121</t>
  </si>
  <si>
    <t>Rettsøkonomi 1</t>
  </si>
  <si>
    <t>JUS4122</t>
  </si>
  <si>
    <t>Rettssosiologi 1</t>
  </si>
  <si>
    <t>JUS4123</t>
  </si>
  <si>
    <t>Rettsfilosofi</t>
  </si>
  <si>
    <t>Totalt</t>
  </si>
  <si>
    <t>Valgemner ba-nivå</t>
  </si>
  <si>
    <t>JUR1070</t>
  </si>
  <si>
    <t>Forhandlinger (ny h21)</t>
  </si>
  <si>
    <t>JUR1280</t>
  </si>
  <si>
    <t>Int. privatrett</t>
  </si>
  <si>
    <t>JUR1285</t>
  </si>
  <si>
    <t>Markedsrett</t>
  </si>
  <si>
    <t>JUR1310</t>
  </si>
  <si>
    <t>EU Competition law</t>
  </si>
  <si>
    <t>JUR1430</t>
  </si>
  <si>
    <t>Tilvirkningskontrakter</t>
  </si>
  <si>
    <t>JUR1450</t>
  </si>
  <si>
    <t>Marine Insurance</t>
  </si>
  <si>
    <t>JUR1511</t>
  </si>
  <si>
    <t>Arbeidsrett</t>
  </si>
  <si>
    <t>JUR1520</t>
  </si>
  <si>
    <t>International Enviro</t>
  </si>
  <si>
    <t>JUR1525</t>
  </si>
  <si>
    <t>Sustainable Business</t>
  </si>
  <si>
    <t>JUR1550</t>
  </si>
  <si>
    <t>Helserett</t>
  </si>
  <si>
    <t>JUR1580</t>
  </si>
  <si>
    <t>Kommunalrett</t>
  </si>
  <si>
    <t>JUR1590</t>
  </si>
  <si>
    <t>Likestillings- og diskrimineringsrett</t>
  </si>
  <si>
    <t>JUR1630</t>
  </si>
  <si>
    <t>Privacy, Data Protaction</t>
  </si>
  <si>
    <t>JUR1710</t>
  </si>
  <si>
    <t>Int. Human rights law</t>
  </si>
  <si>
    <t>JUR1730</t>
  </si>
  <si>
    <t>International humanitarian law</t>
  </si>
  <si>
    <t>JUR1880</t>
  </si>
  <si>
    <t>Financial Market Law</t>
  </si>
  <si>
    <t>Valgemner</t>
  </si>
  <si>
    <t>Engelske</t>
  </si>
  <si>
    <t>BA</t>
  </si>
  <si>
    <t xml:space="preserve">Norske </t>
  </si>
  <si>
    <t>Valgemner ma-nivå</t>
  </si>
  <si>
    <t>Opmmeldt</t>
  </si>
  <si>
    <t>JUS5010</t>
  </si>
  <si>
    <t xml:space="preserve">Juridisk praksis </t>
  </si>
  <si>
    <t>JUS5020</t>
  </si>
  <si>
    <t>Praksis i utlandet</t>
  </si>
  <si>
    <t>JUS5061</t>
  </si>
  <si>
    <t>Domsskriving og domsanalyse</t>
  </si>
  <si>
    <t>(emnet gikk ikke)</t>
  </si>
  <si>
    <t>JUS5070</t>
  </si>
  <si>
    <t>Forhandlinger</t>
  </si>
  <si>
    <t xml:space="preserve">JUS5080 </t>
  </si>
  <si>
    <t>Data Science for lawyers</t>
  </si>
  <si>
    <t>JUS5134</t>
  </si>
  <si>
    <t>International Law of peace</t>
  </si>
  <si>
    <t xml:space="preserve">emnet går annethvert år </t>
  </si>
  <si>
    <t>JUS5251</t>
  </si>
  <si>
    <t>Eiendomsrett og ekspropriasjon</t>
  </si>
  <si>
    <t>JUS5280</t>
  </si>
  <si>
    <t>JUS5310</t>
  </si>
  <si>
    <t>JUS5406</t>
  </si>
  <si>
    <t>Maritime Law</t>
  </si>
  <si>
    <t>JUS5430</t>
  </si>
  <si>
    <t>Tilvirkningskontrakt</t>
  </si>
  <si>
    <t>JUS5450</t>
  </si>
  <si>
    <t>JUS5501</t>
  </si>
  <si>
    <t>Rettslig bevisteori</t>
  </si>
  <si>
    <t>JUS5502</t>
  </si>
  <si>
    <t xml:space="preserve">Lovgivningslære </t>
  </si>
  <si>
    <t>JUS5503</t>
  </si>
  <si>
    <t>Human Rights and Counter</t>
  </si>
  <si>
    <t>JUS5507</t>
  </si>
  <si>
    <t>Juss og kritikk</t>
  </si>
  <si>
    <t>JUS5511</t>
  </si>
  <si>
    <t>Arbeidsrett (ind)</t>
  </si>
  <si>
    <t>JUS5520</t>
  </si>
  <si>
    <t>International Environmental law</t>
  </si>
  <si>
    <t>JUS5525</t>
  </si>
  <si>
    <t>JUS5540</t>
  </si>
  <si>
    <t>Public international law</t>
  </si>
  <si>
    <t>JUS5550</t>
  </si>
  <si>
    <t>JUS5580</t>
  </si>
  <si>
    <t>JUS5590</t>
  </si>
  <si>
    <t>JUS5630</t>
  </si>
  <si>
    <t>Privacy and data protection</t>
  </si>
  <si>
    <t>(våremne)</t>
  </si>
  <si>
    <t>JUS5690</t>
  </si>
  <si>
    <t xml:space="preserve">Robot Regulation </t>
  </si>
  <si>
    <t>JUS5710</t>
  </si>
  <si>
    <t>International human rights law</t>
  </si>
  <si>
    <t>JUS5730</t>
  </si>
  <si>
    <t>JUS5810</t>
  </si>
  <si>
    <t>Opphavsrett</t>
  </si>
  <si>
    <t>JUS5850</t>
  </si>
  <si>
    <t xml:space="preserve">International Trade </t>
  </si>
  <si>
    <t>JUS5880</t>
  </si>
  <si>
    <t>Financial market law</t>
  </si>
  <si>
    <t>JUS5940</t>
  </si>
  <si>
    <t>Offentlige anskaffelser</t>
  </si>
  <si>
    <t>JUS5983</t>
  </si>
  <si>
    <t>Skatterett II</t>
  </si>
  <si>
    <t>MA</t>
  </si>
  <si>
    <t>Antall møtt valgemner BA</t>
  </si>
  <si>
    <t>Antall møtt valgemner MA</t>
  </si>
  <si>
    <t>Antall møtt alle valgemner</t>
  </si>
  <si>
    <t>Antall møtte studieårsemner</t>
  </si>
  <si>
    <t>Alle møtte studieemner + valgemner</t>
  </si>
  <si>
    <t>Andre emner</t>
  </si>
  <si>
    <t xml:space="preserve">Oppmeldte </t>
  </si>
  <si>
    <t xml:space="preserve">%møtt </t>
  </si>
  <si>
    <t>JFSPR1211</t>
  </si>
  <si>
    <t>Fransk for jurister</t>
  </si>
  <si>
    <t>Emnet gikk ikke</t>
  </si>
  <si>
    <t>JFSPR5211</t>
  </si>
  <si>
    <t xml:space="preserve">Emnet gikk ikke </t>
  </si>
  <si>
    <t>JFSPR1311</t>
  </si>
  <si>
    <t>Tysk for jurister</t>
  </si>
  <si>
    <t>JFSPR5311</t>
  </si>
  <si>
    <t>JFVU1100</t>
  </si>
  <si>
    <t>Retten og den digitale velferdsstaten</t>
  </si>
  <si>
    <t>JUROFF1000</t>
  </si>
  <si>
    <t>Innføring i juss</t>
  </si>
  <si>
    <t>JUROFF1500</t>
  </si>
  <si>
    <t>Strafferett</t>
  </si>
  <si>
    <t>MARL5110</t>
  </si>
  <si>
    <t>Maritime Law: Safety</t>
  </si>
  <si>
    <t>Masteroppgaver</t>
  </si>
  <si>
    <t>HUMR5200</t>
  </si>
  <si>
    <t xml:space="preserve">Master Thesis </t>
  </si>
  <si>
    <t xml:space="preserve">Ikke tilgjengelige tall </t>
  </si>
  <si>
    <t>ICTLTHESIS</t>
  </si>
  <si>
    <t>JUR5030</t>
  </si>
  <si>
    <t>Masteroppgave 30 stp</t>
  </si>
  <si>
    <t>JUR5060</t>
  </si>
  <si>
    <t>Masteroppgave 60 sto</t>
  </si>
  <si>
    <t>MARLTHESIS</t>
  </si>
  <si>
    <t>PILTHESIS</t>
  </si>
  <si>
    <t>Oppnådd grad (MiR)</t>
  </si>
  <si>
    <t>MiR</t>
  </si>
  <si>
    <t xml:space="preserve">ikke tilgjengelige tall </t>
  </si>
  <si>
    <t xml:space="preserve">totalt </t>
  </si>
  <si>
    <t>totalt</t>
  </si>
  <si>
    <t xml:space="preserve">Tallene er hentet fra FS582.001 (viser antall oppmeldte ved trekkfrist og antall møtte til eksamen)  </t>
  </si>
  <si>
    <t>IKRS-emner</t>
  </si>
  <si>
    <t>KRIM1100</t>
  </si>
  <si>
    <t>Innføring i kriminol</t>
  </si>
  <si>
    <t>KRIM1500</t>
  </si>
  <si>
    <t>Lovbrudd, lovbrytere og ofre</t>
  </si>
  <si>
    <t>KRIM2101</t>
  </si>
  <si>
    <t>Fordypningsoppgave i</t>
  </si>
  <si>
    <t>KRIM2921</t>
  </si>
  <si>
    <t>Politi og samfunn</t>
  </si>
  <si>
    <t xml:space="preserve">emnet gikk ikke </t>
  </si>
  <si>
    <t>KRIM2952</t>
  </si>
  <si>
    <t>A criminology of globalization</t>
  </si>
  <si>
    <t>KRIM2956</t>
  </si>
  <si>
    <t>International Criminal Justice and Mass Violence</t>
  </si>
  <si>
    <t>KRIM2957</t>
  </si>
  <si>
    <t>Surveillance: Data, technologies, practices</t>
  </si>
  <si>
    <t>KRIM2954</t>
  </si>
  <si>
    <t>Cultural and Narrati</t>
  </si>
  <si>
    <t>KRIM2962</t>
  </si>
  <si>
    <t>The Sociology of Leg</t>
  </si>
  <si>
    <t>KRIM2964</t>
  </si>
  <si>
    <t>Det kriminalitetsfri</t>
  </si>
  <si>
    <t>KRIM2904</t>
  </si>
  <si>
    <t>Fengsler, fanger, sa</t>
  </si>
  <si>
    <t>KRIM2961</t>
  </si>
  <si>
    <t>Kriminalitetsforebyg</t>
  </si>
  <si>
    <t>KRIM4101</t>
  </si>
  <si>
    <t xml:space="preserve">Sentrale teoretiske </t>
  </si>
  <si>
    <t>KRIM4921</t>
  </si>
  <si>
    <t>KRIM4952</t>
  </si>
  <si>
    <t>KRIM4956</t>
  </si>
  <si>
    <t>KRIM4957</t>
  </si>
  <si>
    <t>KRIM4954</t>
  </si>
  <si>
    <t>emnet gikk ikke</t>
  </si>
  <si>
    <t>KRIM4962</t>
  </si>
  <si>
    <t>KRIM4964</t>
  </si>
  <si>
    <t>KRS4105</t>
  </si>
  <si>
    <t>Kvantitativ metode</t>
  </si>
  <si>
    <t>KRS4106</t>
  </si>
  <si>
    <t>Kvalitativ metode</t>
  </si>
  <si>
    <t>(nedlagt)</t>
  </si>
  <si>
    <t>KRIM4904</t>
  </si>
  <si>
    <t>KRIM4919</t>
  </si>
  <si>
    <t>Politi, makt og samf</t>
  </si>
  <si>
    <t>KRIM4961</t>
  </si>
  <si>
    <t>KRIM5001</t>
  </si>
  <si>
    <t>Masteroppgave i krim</t>
  </si>
  <si>
    <t xml:space="preserve">Kvantitativ metode </t>
  </si>
  <si>
    <t>RSOS1801</t>
  </si>
  <si>
    <t>Innføring i rettssos</t>
  </si>
  <si>
    <t>RSOS2958</t>
  </si>
  <si>
    <t>International Migrat</t>
  </si>
  <si>
    <t>RSOS4958</t>
  </si>
  <si>
    <t>RSOS2953</t>
  </si>
  <si>
    <t>Legal Anthropology</t>
  </si>
  <si>
    <t>RSOS4953</t>
  </si>
  <si>
    <t>RSOS5001</t>
  </si>
  <si>
    <t>Masteroppgave i rett</t>
  </si>
  <si>
    <t>HUMR-emner</t>
  </si>
  <si>
    <t>HUMR5131</t>
  </si>
  <si>
    <t>Human Rights in Hist</t>
  </si>
  <si>
    <t>HUMR5132</t>
  </si>
  <si>
    <t>Human Rights in Cont</t>
  </si>
  <si>
    <t>HUMR5133</t>
  </si>
  <si>
    <t>Business and Human R</t>
  </si>
  <si>
    <t>(emnet hadde ingen oppmeldte)</t>
  </si>
  <si>
    <t>HUMR5140</t>
  </si>
  <si>
    <t>Human rights in inte</t>
  </si>
  <si>
    <t>HUMR5191</t>
  </si>
  <si>
    <t>Human rights methodology</t>
  </si>
  <si>
    <t xml:space="preserve">Master thesis </t>
  </si>
  <si>
    <t>Tall er ikke tilgjengelige</t>
  </si>
  <si>
    <t>H25</t>
  </si>
  <si>
    <t>H24</t>
  </si>
  <si>
    <t>H23</t>
  </si>
  <si>
    <t>H22</t>
  </si>
  <si>
    <t>H21</t>
  </si>
  <si>
    <t>H20</t>
  </si>
  <si>
    <t>H19</t>
  </si>
  <si>
    <t>Seri-emner</t>
  </si>
  <si>
    <t>FINF1001</t>
  </si>
  <si>
    <t>Digital forvaltning</t>
  </si>
  <si>
    <t>FINF4110</t>
  </si>
  <si>
    <t>Digitalisering i off</t>
  </si>
  <si>
    <t>FINF4111</t>
  </si>
  <si>
    <t>Digitalisering i pra</t>
  </si>
  <si>
    <t>FINF4012</t>
  </si>
  <si>
    <t xml:space="preserve">Rettslig regulering </t>
  </si>
  <si>
    <t>FINF4031</t>
  </si>
  <si>
    <t>Individuell semester</t>
  </si>
  <si>
    <t>RINF1200</t>
  </si>
  <si>
    <t>Opphavsrett og beslektede rettigheter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</si>
</sst>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Calibri body"/>
    </font>
    <font>
      <sz val="10"/>
      <name val="Arial"/>
      <family val="2"/>
    </font>
    <font>
      <b/>
      <sz val="11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 tint="-0.499984740745262"/>
      <name val="Arial"/>
      <family val="2"/>
    </font>
    <font>
      <sz val="10"/>
      <color theme="0" tint="-0.499984740745262"/>
      <name val="Calibri"/>
      <family val="2"/>
      <scheme val="minor"/>
    </font>
    <font>
      <sz val="11"/>
      <color rgb="FF000000"/>
      <name val="Calibri"/>
      <family val="2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-0.249977111117893"/>
        <bgColor rgb="FF000000"/>
      </patternFill>
    </fill>
    <fill>
      <patternFill patternType="solid">
        <fgColor theme="5" tint="0.39997558519241921"/>
        <bgColor rgb="FF000000"/>
      </patternFill>
    </fill>
    <fill>
      <patternFill patternType="solid">
        <fgColor theme="5" tint="-0.249977111117893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4" fillId="0" borderId="0"/>
    <xf numFmtId="0" fontId="4" fillId="0" borderId="0"/>
    <xf numFmtId="0" fontId="8" fillId="0" borderId="0"/>
  </cellStyleXfs>
  <cellXfs count="680">
    <xf numFmtId="0" fontId="0" fillId="0" borderId="0" xfId="0"/>
    <xf numFmtId="0" fontId="3" fillId="0" borderId="0" xfId="0" applyFont="1"/>
    <xf numFmtId="0" fontId="0" fillId="2" borderId="0" xfId="0" applyFill="1"/>
    <xf numFmtId="0" fontId="2" fillId="0" borderId="0" xfId="0" applyFont="1"/>
    <xf numFmtId="0" fontId="2" fillId="3" borderId="2" xfId="0" applyFont="1" applyFill="1" applyBorder="1"/>
    <xf numFmtId="9" fontId="2" fillId="3" borderId="2" xfId="1" applyFont="1" applyFill="1" applyBorder="1"/>
    <xf numFmtId="9" fontId="2" fillId="2" borderId="2" xfId="1" applyFont="1" applyFill="1" applyBorder="1"/>
    <xf numFmtId="0" fontId="0" fillId="4" borderId="1" xfId="0" applyFill="1" applyBorder="1"/>
    <xf numFmtId="0" fontId="2" fillId="4" borderId="2" xfId="0" applyFont="1" applyFill="1" applyBorder="1"/>
    <xf numFmtId="9" fontId="2" fillId="4" borderId="2" xfId="1" applyFont="1" applyFill="1" applyBorder="1"/>
    <xf numFmtId="0" fontId="2" fillId="2" borderId="2" xfId="0" applyFont="1" applyFill="1" applyBorder="1"/>
    <xf numFmtId="0" fontId="0" fillId="5" borderId="1" xfId="0" applyFill="1" applyBorder="1"/>
    <xf numFmtId="0" fontId="2" fillId="5" borderId="2" xfId="0" applyFont="1" applyFill="1" applyBorder="1"/>
    <xf numFmtId="9" fontId="2" fillId="5" borderId="2" xfId="1" applyFont="1" applyFill="1" applyBorder="1"/>
    <xf numFmtId="0" fontId="2" fillId="6" borderId="1" xfId="0" applyFont="1" applyFill="1" applyBorder="1"/>
    <xf numFmtId="0" fontId="0" fillId="6" borderId="2" xfId="0" applyFill="1" applyBorder="1"/>
    <xf numFmtId="0" fontId="2" fillId="3" borderId="1" xfId="0" applyFont="1" applyFill="1" applyBorder="1"/>
    <xf numFmtId="0" fontId="2" fillId="3" borderId="2" xfId="0" applyFont="1" applyFill="1" applyBorder="1" applyAlignment="1">
      <alignment horizontal="right"/>
    </xf>
    <xf numFmtId="9" fontId="2" fillId="3" borderId="2" xfId="1" applyFont="1" applyFill="1" applyBorder="1" applyAlignment="1">
      <alignment horizontal="right"/>
    </xf>
    <xf numFmtId="9" fontId="2" fillId="2" borderId="2" xfId="1" applyFont="1" applyFill="1" applyBorder="1" applyAlignment="1">
      <alignment horizontal="right"/>
    </xf>
    <xf numFmtId="0" fontId="2" fillId="4" borderId="1" xfId="0" applyFont="1" applyFill="1" applyBorder="1"/>
    <xf numFmtId="0" fontId="2" fillId="4" borderId="2" xfId="0" applyFont="1" applyFill="1" applyBorder="1" applyAlignment="1">
      <alignment horizontal="right"/>
    </xf>
    <xf numFmtId="9" fontId="2" fillId="4" borderId="2" xfId="1" applyFont="1" applyFill="1" applyBorder="1" applyAlignment="1">
      <alignment horizontal="right"/>
    </xf>
    <xf numFmtId="0" fontId="2" fillId="5" borderId="1" xfId="0" applyFont="1" applyFill="1" applyBorder="1"/>
    <xf numFmtId="0" fontId="2" fillId="5" borderId="2" xfId="0" applyFont="1" applyFill="1" applyBorder="1" applyAlignment="1">
      <alignment horizontal="right"/>
    </xf>
    <xf numFmtId="9" fontId="2" fillId="5" borderId="2" xfId="1" applyFont="1" applyFill="1" applyBorder="1" applyAlignment="1">
      <alignment horizontal="right"/>
    </xf>
    <xf numFmtId="0" fontId="2" fillId="2" borderId="0" xfId="0" applyFont="1" applyFill="1"/>
    <xf numFmtId="0" fontId="0" fillId="0" borderId="3" xfId="0" applyBorder="1"/>
    <xf numFmtId="0" fontId="0" fillId="3" borderId="0" xfId="0" applyFill="1"/>
    <xf numFmtId="9" fontId="0" fillId="3" borderId="0" xfId="1" applyFont="1" applyFill="1" applyBorder="1"/>
    <xf numFmtId="9" fontId="0" fillId="2" borderId="0" xfId="1" applyFont="1" applyFill="1" applyBorder="1"/>
    <xf numFmtId="0" fontId="0" fillId="4" borderId="0" xfId="0" applyFill="1"/>
    <xf numFmtId="9" fontId="0" fillId="4" borderId="0" xfId="1" applyFont="1" applyFill="1" applyBorder="1"/>
    <xf numFmtId="0" fontId="0" fillId="4" borderId="5" xfId="0" applyFill="1" applyBorder="1"/>
    <xf numFmtId="0" fontId="0" fillId="5" borderId="0" xfId="0" applyFill="1"/>
    <xf numFmtId="9" fontId="4" fillId="5" borderId="0" xfId="1" applyFont="1" applyFill="1" applyBorder="1"/>
    <xf numFmtId="0" fontId="4" fillId="0" borderId="0" xfId="2"/>
    <xf numFmtId="0" fontId="4" fillId="3" borderId="0" xfId="2" applyFill="1"/>
    <xf numFmtId="0" fontId="4" fillId="4" borderId="0" xfId="2" applyFill="1"/>
    <xf numFmtId="0" fontId="0" fillId="7" borderId="5" xfId="0" applyFill="1" applyBorder="1"/>
    <xf numFmtId="0" fontId="4" fillId="5" borderId="0" xfId="2" applyFill="1"/>
    <xf numFmtId="9" fontId="4" fillId="3" borderId="0" xfId="1" applyFont="1" applyFill="1" applyBorder="1"/>
    <xf numFmtId="9" fontId="4" fillId="2" borderId="0" xfId="1" applyFont="1" applyFill="1" applyBorder="1"/>
    <xf numFmtId="9" fontId="4" fillId="4" borderId="0" xfId="1" applyFont="1" applyFill="1" applyBorder="1"/>
    <xf numFmtId="0" fontId="4" fillId="0" borderId="3" xfId="2" applyBorder="1"/>
    <xf numFmtId="0" fontId="4" fillId="5" borderId="0" xfId="3" applyFill="1"/>
    <xf numFmtId="9" fontId="2" fillId="2" borderId="7" xfId="1" applyFont="1" applyFill="1" applyBorder="1"/>
    <xf numFmtId="0" fontId="0" fillId="2" borderId="7" xfId="0" applyFill="1" applyBorder="1"/>
    <xf numFmtId="0" fontId="6" fillId="0" borderId="0" xfId="2" applyFont="1"/>
    <xf numFmtId="9" fontId="0" fillId="0" borderId="0" xfId="1" applyFont="1" applyFill="1"/>
    <xf numFmtId="0" fontId="2" fillId="4" borderId="0" xfId="0" applyFont="1" applyFill="1"/>
    <xf numFmtId="9" fontId="0" fillId="0" borderId="0" xfId="1" applyFont="1"/>
    <xf numFmtId="9" fontId="2" fillId="3" borderId="8" xfId="1" applyFont="1" applyFill="1" applyBorder="1" applyAlignment="1">
      <alignment horizontal="right"/>
    </xf>
    <xf numFmtId="9" fontId="2" fillId="3" borderId="0" xfId="1" applyFont="1" applyFill="1" applyBorder="1" applyAlignment="1">
      <alignment horizontal="right"/>
    </xf>
    <xf numFmtId="9" fontId="2" fillId="2" borderId="0" xfId="1" applyFont="1" applyFill="1" applyBorder="1" applyAlignment="1">
      <alignment horizontal="right"/>
    </xf>
    <xf numFmtId="9" fontId="2" fillId="4" borderId="0" xfId="1" applyFont="1" applyFill="1" applyBorder="1" applyAlignment="1">
      <alignment horizontal="right"/>
    </xf>
    <xf numFmtId="0" fontId="4" fillId="2" borderId="0" xfId="2" applyFill="1"/>
    <xf numFmtId="0" fontId="4" fillId="5" borderId="3" xfId="3" applyFill="1" applyBorder="1"/>
    <xf numFmtId="9" fontId="4" fillId="3" borderId="0" xfId="2" applyNumberFormat="1" applyFill="1"/>
    <xf numFmtId="9" fontId="0" fillId="5" borderId="0" xfId="1" applyFont="1" applyFill="1" applyBorder="1"/>
    <xf numFmtId="0" fontId="4" fillId="0" borderId="1" xfId="2" applyBorder="1"/>
    <xf numFmtId="9" fontId="2" fillId="3" borderId="8" xfId="1" applyFont="1" applyFill="1" applyBorder="1"/>
    <xf numFmtId="9" fontId="2" fillId="0" borderId="0" xfId="1" applyFont="1" applyFill="1" applyBorder="1"/>
    <xf numFmtId="0" fontId="6" fillId="6" borderId="9" xfId="2" applyFont="1" applyFill="1" applyBorder="1"/>
    <xf numFmtId="0" fontId="6" fillId="0" borderId="11" xfId="2" applyFont="1" applyBorder="1"/>
    <xf numFmtId="0" fontId="2" fillId="3" borderId="11" xfId="0" applyFont="1" applyFill="1" applyBorder="1"/>
    <xf numFmtId="9" fontId="2" fillId="3" borderId="11" xfId="1" applyFont="1" applyFill="1" applyBorder="1"/>
    <xf numFmtId="9" fontId="2" fillId="2" borderId="11" xfId="1" applyFont="1" applyFill="1" applyBorder="1"/>
    <xf numFmtId="0" fontId="2" fillId="4" borderId="11" xfId="0" applyFont="1" applyFill="1" applyBorder="1"/>
    <xf numFmtId="9" fontId="2" fillId="4" borderId="11" xfId="1" applyFont="1" applyFill="1" applyBorder="1"/>
    <xf numFmtId="0" fontId="2" fillId="2" borderId="11" xfId="0" applyFont="1" applyFill="1" applyBorder="1"/>
    <xf numFmtId="0" fontId="2" fillId="5" borderId="11" xfId="0" applyFont="1" applyFill="1" applyBorder="1"/>
    <xf numFmtId="9" fontId="2" fillId="5" borderId="11" xfId="1" applyFont="1" applyFill="1" applyBorder="1"/>
    <xf numFmtId="0" fontId="6" fillId="6" borderId="12" xfId="2" applyFont="1" applyFill="1" applyBorder="1"/>
    <xf numFmtId="0" fontId="6" fillId="0" borderId="13" xfId="2" applyFont="1" applyBorder="1"/>
    <xf numFmtId="0" fontId="2" fillId="3" borderId="13" xfId="0" applyFont="1" applyFill="1" applyBorder="1"/>
    <xf numFmtId="9" fontId="2" fillId="3" borderId="13" xfId="1" applyFont="1" applyFill="1" applyBorder="1"/>
    <xf numFmtId="9" fontId="2" fillId="2" borderId="13" xfId="1" applyFont="1" applyFill="1" applyBorder="1"/>
    <xf numFmtId="0" fontId="2" fillId="4" borderId="13" xfId="0" applyFont="1" applyFill="1" applyBorder="1"/>
    <xf numFmtId="9" fontId="2" fillId="4" borderId="13" xfId="1" applyFont="1" applyFill="1" applyBorder="1"/>
    <xf numFmtId="0" fontId="2" fillId="2" borderId="13" xfId="0" applyFont="1" applyFill="1" applyBorder="1"/>
    <xf numFmtId="0" fontId="2" fillId="5" borderId="13" xfId="0" applyFont="1" applyFill="1" applyBorder="1"/>
    <xf numFmtId="9" fontId="2" fillId="5" borderId="13" xfId="1" applyFont="1" applyFill="1" applyBorder="1"/>
    <xf numFmtId="9" fontId="0" fillId="0" borderId="0" xfId="1" applyFont="1" applyBorder="1"/>
    <xf numFmtId="9" fontId="0" fillId="0" borderId="0" xfId="1" applyFont="1" applyFill="1" applyBorder="1"/>
    <xf numFmtId="0" fontId="0" fillId="0" borderId="11" xfId="0" applyBorder="1"/>
    <xf numFmtId="0" fontId="6" fillId="6" borderId="1" xfId="2" applyFont="1" applyFill="1" applyBorder="1"/>
    <xf numFmtId="0" fontId="4" fillId="3" borderId="14" xfId="2" applyFill="1" applyBorder="1"/>
    <xf numFmtId="9" fontId="4" fillId="3" borderId="14" xfId="1" applyFont="1" applyFill="1" applyBorder="1"/>
    <xf numFmtId="9" fontId="1" fillId="4" borderId="0" xfId="1" applyFont="1" applyFill="1" applyBorder="1"/>
    <xf numFmtId="9" fontId="1" fillId="3" borderId="14" xfId="1" applyFont="1" applyFill="1" applyBorder="1"/>
    <xf numFmtId="9" fontId="1" fillId="3" borderId="0" xfId="1" applyFont="1" applyFill="1" applyBorder="1"/>
    <xf numFmtId="9" fontId="1" fillId="2" borderId="0" xfId="1" applyFont="1" applyFill="1" applyBorder="1"/>
    <xf numFmtId="0" fontId="6" fillId="3" borderId="2" xfId="2" applyFont="1" applyFill="1" applyBorder="1"/>
    <xf numFmtId="0" fontId="6" fillId="4" borderId="2" xfId="2" applyFont="1" applyFill="1" applyBorder="1"/>
    <xf numFmtId="9" fontId="2" fillId="5" borderId="8" xfId="1" applyFont="1" applyFill="1" applyBorder="1"/>
    <xf numFmtId="0" fontId="7" fillId="4" borderId="13" xfId="0" applyFont="1" applyFill="1" applyBorder="1"/>
    <xf numFmtId="9" fontId="7" fillId="4" borderId="13" xfId="1" applyFont="1" applyFill="1" applyBorder="1"/>
    <xf numFmtId="0" fontId="7" fillId="0" borderId="0" xfId="0" applyFont="1"/>
    <xf numFmtId="9" fontId="7" fillId="0" borderId="0" xfId="1" applyFont="1" applyFill="1" applyBorder="1"/>
    <xf numFmtId="0" fontId="0" fillId="6" borderId="11" xfId="0" applyFill="1" applyBorder="1"/>
    <xf numFmtId="0" fontId="2" fillId="8" borderId="11" xfId="0" applyFont="1" applyFill="1" applyBorder="1"/>
    <xf numFmtId="9" fontId="2" fillId="8" borderId="11" xfId="1" applyFont="1" applyFill="1" applyBorder="1"/>
    <xf numFmtId="0" fontId="7" fillId="8" borderId="11" xfId="0" applyFont="1" applyFill="1" applyBorder="1"/>
    <xf numFmtId="9" fontId="7" fillId="8" borderId="11" xfId="1" applyFont="1" applyFill="1" applyBorder="1"/>
    <xf numFmtId="9" fontId="2" fillId="8" borderId="10" xfId="1" applyFont="1" applyFill="1" applyBorder="1"/>
    <xf numFmtId="0" fontId="0" fillId="8" borderId="0" xfId="0" applyFill="1"/>
    <xf numFmtId="0" fontId="2" fillId="8" borderId="0" xfId="0" applyFont="1" applyFill="1"/>
    <xf numFmtId="0" fontId="0" fillId="8" borderId="5" xfId="0" applyFill="1" applyBorder="1"/>
    <xf numFmtId="0" fontId="6" fillId="8" borderId="2" xfId="2" applyFont="1" applyFill="1" applyBorder="1"/>
    <xf numFmtId="0" fontId="2" fillId="8" borderId="2" xfId="0" applyFont="1" applyFill="1" applyBorder="1"/>
    <xf numFmtId="0" fontId="2" fillId="8" borderId="8" xfId="0" applyFont="1" applyFill="1" applyBorder="1"/>
    <xf numFmtId="9" fontId="2" fillId="5" borderId="8" xfId="1" applyFont="1" applyFill="1" applyBorder="1" applyAlignment="1">
      <alignment horizontal="right"/>
    </xf>
    <xf numFmtId="0" fontId="4" fillId="5" borderId="5" xfId="3" applyFill="1" applyBorder="1"/>
    <xf numFmtId="0" fontId="0" fillId="5" borderId="8" xfId="0" applyFill="1" applyBorder="1"/>
    <xf numFmtId="9" fontId="2" fillId="5" borderId="10" xfId="1" applyFont="1" applyFill="1" applyBorder="1"/>
    <xf numFmtId="9" fontId="2" fillId="5" borderId="15" xfId="1" applyFont="1" applyFill="1" applyBorder="1"/>
    <xf numFmtId="9" fontId="0" fillId="8" borderId="0" xfId="1" applyFont="1" applyFill="1" applyBorder="1"/>
    <xf numFmtId="0" fontId="4" fillId="8" borderId="0" xfId="2" applyFill="1"/>
    <xf numFmtId="9" fontId="4" fillId="8" borderId="0" xfId="1" applyFont="1" applyFill="1" applyBorder="1"/>
    <xf numFmtId="0" fontId="0" fillId="8" borderId="3" xfId="0" applyFill="1" applyBorder="1"/>
    <xf numFmtId="0" fontId="4" fillId="8" borderId="3" xfId="2" applyFill="1" applyBorder="1"/>
    <xf numFmtId="0" fontId="0" fillId="8" borderId="12" xfId="0" applyFill="1" applyBorder="1"/>
    <xf numFmtId="0" fontId="0" fillId="8" borderId="13" xfId="0" applyFill="1" applyBorder="1"/>
    <xf numFmtId="9" fontId="0" fillId="8" borderId="13" xfId="1" applyFont="1" applyFill="1" applyBorder="1"/>
    <xf numFmtId="0" fontId="0" fillId="10" borderId="5" xfId="0" applyFill="1" applyBorder="1"/>
    <xf numFmtId="0" fontId="5" fillId="8" borderId="5" xfId="0" applyFont="1" applyFill="1" applyBorder="1"/>
    <xf numFmtId="0" fontId="0" fillId="8" borderId="15" xfId="0" applyFill="1" applyBorder="1"/>
    <xf numFmtId="0" fontId="4" fillId="9" borderId="5" xfId="3" applyFill="1" applyBorder="1"/>
    <xf numFmtId="0" fontId="4" fillId="5" borderId="13" xfId="3" applyFill="1" applyBorder="1"/>
    <xf numFmtId="9" fontId="4" fillId="5" borderId="13" xfId="1" applyFont="1" applyFill="1" applyBorder="1"/>
    <xf numFmtId="0" fontId="0" fillId="5" borderId="15" xfId="0" applyFill="1" applyBorder="1"/>
    <xf numFmtId="0" fontId="0" fillId="0" borderId="5" xfId="0" applyBorder="1"/>
    <xf numFmtId="0" fontId="0" fillId="0" borderId="15" xfId="0" applyBorder="1"/>
    <xf numFmtId="0" fontId="4" fillId="5" borderId="12" xfId="3" applyFill="1" applyBorder="1"/>
    <xf numFmtId="0" fontId="2" fillId="8" borderId="12" xfId="0" applyFont="1" applyFill="1" applyBorder="1"/>
    <xf numFmtId="0" fontId="2" fillId="8" borderId="13" xfId="0" applyFont="1" applyFill="1" applyBorder="1"/>
    <xf numFmtId="9" fontId="2" fillId="8" borderId="13" xfId="1" applyFont="1" applyFill="1" applyBorder="1"/>
    <xf numFmtId="0" fontId="0" fillId="11" borderId="3" xfId="0" applyFill="1" applyBorder="1"/>
    <xf numFmtId="0" fontId="4" fillId="0" borderId="0" xfId="3"/>
    <xf numFmtId="0" fontId="4" fillId="5" borderId="3" xfId="2" applyFill="1" applyBorder="1"/>
    <xf numFmtId="0" fontId="0" fillId="5" borderId="3" xfId="0" applyFill="1" applyBorder="1"/>
    <xf numFmtId="10" fontId="0" fillId="0" borderId="0" xfId="0" applyNumberFormat="1"/>
    <xf numFmtId="0" fontId="0" fillId="0" borderId="9" xfId="0" applyBorder="1"/>
    <xf numFmtId="0" fontId="0" fillId="0" borderId="10" xfId="0" applyBorder="1"/>
    <xf numFmtId="0" fontId="2" fillId="3" borderId="9" xfId="0" applyFont="1" applyFill="1" applyBorder="1"/>
    <xf numFmtId="10" fontId="2" fillId="3" borderId="10" xfId="0" applyNumberFormat="1" applyFont="1" applyFill="1" applyBorder="1"/>
    <xf numFmtId="0" fontId="2" fillId="8" borderId="9" xfId="0" applyFont="1" applyFill="1" applyBorder="1"/>
    <xf numFmtId="0" fontId="0" fillId="6" borderId="8" xfId="0" applyFill="1" applyBorder="1"/>
    <xf numFmtId="0" fontId="4" fillId="0" borderId="5" xfId="2" applyBorder="1"/>
    <xf numFmtId="0" fontId="4" fillId="3" borderId="3" xfId="2" applyFill="1" applyBorder="1"/>
    <xf numFmtId="0" fontId="6" fillId="0" borderId="2" xfId="2" applyFont="1" applyBorder="1"/>
    <xf numFmtId="0" fontId="4" fillId="6" borderId="8" xfId="2" applyFill="1" applyBorder="1"/>
    <xf numFmtId="0" fontId="4" fillId="0" borderId="12" xfId="2" applyBorder="1"/>
    <xf numFmtId="0" fontId="4" fillId="0" borderId="15" xfId="2" applyBorder="1"/>
    <xf numFmtId="0" fontId="4" fillId="8" borderId="13" xfId="2" applyFill="1" applyBorder="1"/>
    <xf numFmtId="0" fontId="4" fillId="0" borderId="13" xfId="2" applyBorder="1"/>
    <xf numFmtId="0" fontId="0" fillId="0" borderId="12" xfId="0" applyBorder="1"/>
    <xf numFmtId="0" fontId="2" fillId="0" borderId="13" xfId="0" applyFont="1" applyBorder="1"/>
    <xf numFmtId="0" fontId="2" fillId="3" borderId="12" xfId="0" applyFont="1" applyFill="1" applyBorder="1"/>
    <xf numFmtId="0" fontId="4" fillId="5" borderId="13" xfId="2" applyFill="1" applyBorder="1"/>
    <xf numFmtId="9" fontId="0" fillId="5" borderId="13" xfId="1" applyFont="1" applyFill="1" applyBorder="1"/>
    <xf numFmtId="0" fontId="0" fillId="5" borderId="13" xfId="0" applyFill="1" applyBorder="1"/>
    <xf numFmtId="0" fontId="8" fillId="0" borderId="0" xfId="4"/>
    <xf numFmtId="0" fontId="8" fillId="3" borderId="0" xfId="4" applyFill="1"/>
    <xf numFmtId="0" fontId="6" fillId="3" borderId="2" xfId="4" applyFont="1" applyFill="1" applyBorder="1"/>
    <xf numFmtId="0" fontId="0" fillId="4" borderId="8" xfId="0" applyFill="1" applyBorder="1"/>
    <xf numFmtId="0" fontId="0" fillId="5" borderId="5" xfId="0" applyFill="1" applyBorder="1"/>
    <xf numFmtId="9" fontId="4" fillId="5" borderId="5" xfId="1" applyFont="1" applyFill="1" applyBorder="1"/>
    <xf numFmtId="9" fontId="4" fillId="5" borderId="15" xfId="1" applyFont="1" applyFill="1" applyBorder="1"/>
    <xf numFmtId="9" fontId="1" fillId="3" borderId="0" xfId="1" applyFont="1" applyFill="1" applyBorder="1" applyAlignment="1">
      <alignment horizontal="right"/>
    </xf>
    <xf numFmtId="10" fontId="4" fillId="0" borderId="0" xfId="2" applyNumberFormat="1"/>
    <xf numFmtId="0" fontId="4" fillId="3" borderId="11" xfId="2" applyFill="1" applyBorder="1"/>
    <xf numFmtId="0" fontId="4" fillId="3" borderId="13" xfId="2" applyFill="1" applyBorder="1"/>
    <xf numFmtId="0" fontId="4" fillId="4" borderId="13" xfId="2" applyFill="1" applyBorder="1"/>
    <xf numFmtId="9" fontId="4" fillId="4" borderId="13" xfId="1" applyFont="1" applyFill="1" applyBorder="1"/>
    <xf numFmtId="0" fontId="0" fillId="2" borderId="13" xfId="0" applyFill="1" applyBorder="1"/>
    <xf numFmtId="9" fontId="4" fillId="0" borderId="0" xfId="1" applyFont="1" applyFill="1" applyBorder="1"/>
    <xf numFmtId="0" fontId="4" fillId="0" borderId="3" xfId="3" applyBorder="1"/>
    <xf numFmtId="9" fontId="4" fillId="0" borderId="5" xfId="1" applyFont="1" applyFill="1" applyBorder="1"/>
    <xf numFmtId="0" fontId="8" fillId="3" borderId="13" xfId="4" applyFill="1" applyBorder="1"/>
    <xf numFmtId="0" fontId="4" fillId="2" borderId="13" xfId="2" applyFill="1" applyBorder="1"/>
    <xf numFmtId="0" fontId="5" fillId="0" borderId="1" xfId="0" applyFont="1" applyBorder="1"/>
    <xf numFmtId="0" fontId="0" fillId="0" borderId="8" xfId="0" applyBorder="1"/>
    <xf numFmtId="0" fontId="4" fillId="0" borderId="2" xfId="2" applyBorder="1"/>
    <xf numFmtId="9" fontId="4" fillId="5" borderId="8" xfId="1" applyFont="1" applyFill="1" applyBorder="1"/>
    <xf numFmtId="9" fontId="4" fillId="3" borderId="13" xfId="2" applyNumberFormat="1" applyFill="1" applyBorder="1"/>
    <xf numFmtId="9" fontId="6" fillId="3" borderId="2" xfId="2" applyNumberFormat="1" applyFont="1" applyFill="1" applyBorder="1"/>
    <xf numFmtId="9" fontId="6" fillId="4" borderId="2" xfId="1" applyFont="1" applyFill="1" applyBorder="1"/>
    <xf numFmtId="0" fontId="2" fillId="0" borderId="2" xfId="0" applyFont="1" applyBorder="1"/>
    <xf numFmtId="0" fontId="6" fillId="5" borderId="1" xfId="3" applyFont="1" applyFill="1" applyBorder="1"/>
    <xf numFmtId="0" fontId="6" fillId="5" borderId="2" xfId="3" applyFont="1" applyFill="1" applyBorder="1"/>
    <xf numFmtId="9" fontId="6" fillId="5" borderId="2" xfId="1" applyFont="1" applyFill="1" applyBorder="1"/>
    <xf numFmtId="9" fontId="5" fillId="4" borderId="0" xfId="1" applyFont="1" applyFill="1" applyBorder="1"/>
    <xf numFmtId="9" fontId="1" fillId="0" borderId="0" xfId="1" applyFont="1" applyFill="1" applyBorder="1"/>
    <xf numFmtId="9" fontId="1" fillId="3" borderId="13" xfId="1" applyFont="1" applyFill="1" applyBorder="1"/>
    <xf numFmtId="9" fontId="1" fillId="3" borderId="18" xfId="1" applyFont="1" applyFill="1" applyBorder="1"/>
    <xf numFmtId="9" fontId="4" fillId="5" borderId="14" xfId="1" applyFont="1" applyFill="1" applyBorder="1"/>
    <xf numFmtId="9" fontId="1" fillId="5" borderId="14" xfId="1" applyFont="1" applyFill="1" applyBorder="1"/>
    <xf numFmtId="0" fontId="0" fillId="5" borderId="12" xfId="0" applyFill="1" applyBorder="1"/>
    <xf numFmtId="9" fontId="1" fillId="5" borderId="18" xfId="1" applyFont="1" applyFill="1" applyBorder="1"/>
    <xf numFmtId="0" fontId="2" fillId="8" borderId="10" xfId="0" applyFont="1" applyFill="1" applyBorder="1"/>
    <xf numFmtId="0" fontId="2" fillId="5" borderId="9" xfId="0" applyFont="1" applyFill="1" applyBorder="1"/>
    <xf numFmtId="0" fontId="3" fillId="5" borderId="10" xfId="0" applyFont="1" applyFill="1" applyBorder="1"/>
    <xf numFmtId="0" fontId="0" fillId="5" borderId="10" xfId="0" applyFill="1" applyBorder="1"/>
    <xf numFmtId="0" fontId="4" fillId="3" borderId="9" xfId="2" applyFill="1" applyBorder="1"/>
    <xf numFmtId="0" fontId="4" fillId="3" borderId="12" xfId="2" applyFill="1" applyBorder="1"/>
    <xf numFmtId="0" fontId="4" fillId="6" borderId="2" xfId="2" applyFill="1" applyBorder="1"/>
    <xf numFmtId="0" fontId="2" fillId="3" borderId="10" xfId="0" applyFont="1" applyFill="1" applyBorder="1"/>
    <xf numFmtId="10" fontId="2" fillId="3" borderId="17" xfId="0" applyNumberFormat="1" applyFont="1" applyFill="1" applyBorder="1"/>
    <xf numFmtId="9" fontId="0" fillId="5" borderId="5" xfId="1" applyFont="1" applyFill="1" applyBorder="1"/>
    <xf numFmtId="9" fontId="4" fillId="3" borderId="5" xfId="2" applyNumberFormat="1" applyFill="1" applyBorder="1"/>
    <xf numFmtId="9" fontId="2" fillId="3" borderId="15" xfId="0" applyNumberFormat="1" applyFont="1" applyFill="1" applyBorder="1"/>
    <xf numFmtId="0" fontId="2" fillId="4" borderId="0" xfId="0" applyFont="1" applyFill="1" applyAlignment="1">
      <alignment horizontal="right"/>
    </xf>
    <xf numFmtId="0" fontId="2" fillId="5" borderId="3" xfId="0" applyFont="1" applyFill="1" applyBorder="1"/>
    <xf numFmtId="0" fontId="2" fillId="5" borderId="0" xfId="0" applyFont="1" applyFill="1" applyAlignment="1">
      <alignment horizontal="right"/>
    </xf>
    <xf numFmtId="9" fontId="2" fillId="5" borderId="0" xfId="1" applyFont="1" applyFill="1" applyBorder="1" applyAlignment="1">
      <alignment horizontal="right"/>
    </xf>
    <xf numFmtId="0" fontId="0" fillId="3" borderId="0" xfId="0" applyFill="1" applyAlignment="1">
      <alignment horizontal="right"/>
    </xf>
    <xf numFmtId="0" fontId="2" fillId="6" borderId="13" xfId="0" applyFont="1" applyFill="1" applyBorder="1"/>
    <xf numFmtId="0" fontId="2" fillId="8" borderId="19" xfId="0" applyFont="1" applyFill="1" applyBorder="1"/>
    <xf numFmtId="0" fontId="0" fillId="8" borderId="2" xfId="0" applyFill="1" applyBorder="1"/>
    <xf numFmtId="0" fontId="0" fillId="12" borderId="2" xfId="0" applyFill="1" applyBorder="1"/>
    <xf numFmtId="0" fontId="0" fillId="12" borderId="4" xfId="0" applyFill="1" applyBorder="1"/>
    <xf numFmtId="0" fontId="0" fillId="12" borderId="0" xfId="0" applyFill="1"/>
    <xf numFmtId="0" fontId="0" fillId="12" borderId="14" xfId="0" applyFill="1" applyBorder="1"/>
    <xf numFmtId="0" fontId="4" fillId="12" borderId="4" xfId="2" applyFill="1" applyBorder="1"/>
    <xf numFmtId="0" fontId="4" fillId="12" borderId="0" xfId="2" applyFill="1"/>
    <xf numFmtId="0" fontId="4" fillId="12" borderId="14" xfId="2" applyFill="1" applyBorder="1"/>
    <xf numFmtId="0" fontId="2" fillId="12" borderId="16" xfId="0" applyFont="1" applyFill="1" applyBorder="1"/>
    <xf numFmtId="0" fontId="2" fillId="12" borderId="2" xfId="0" applyFont="1" applyFill="1" applyBorder="1" applyAlignment="1">
      <alignment horizontal="right"/>
    </xf>
    <xf numFmtId="0" fontId="0" fillId="12" borderId="13" xfId="0" applyFill="1" applyBorder="1"/>
    <xf numFmtId="0" fontId="4" fillId="12" borderId="0" xfId="3" applyFill="1"/>
    <xf numFmtId="0" fontId="4" fillId="12" borderId="4" xfId="3" applyFill="1" applyBorder="1"/>
    <xf numFmtId="0" fontId="4" fillId="12" borderId="14" xfId="3" applyFill="1" applyBorder="1"/>
    <xf numFmtId="0" fontId="6" fillId="12" borderId="20" xfId="2" applyFont="1" applyFill="1" applyBorder="1"/>
    <xf numFmtId="0" fontId="6" fillId="12" borderId="21" xfId="2" applyFont="1" applyFill="1" applyBorder="1"/>
    <xf numFmtId="0" fontId="2" fillId="12" borderId="0" xfId="0" applyFont="1" applyFill="1"/>
    <xf numFmtId="0" fontId="6" fillId="8" borderId="19" xfId="2" applyFont="1" applyFill="1" applyBorder="1"/>
    <xf numFmtId="9" fontId="4" fillId="0" borderId="14" xfId="1" applyFont="1" applyFill="1" applyBorder="1"/>
    <xf numFmtId="0" fontId="2" fillId="4" borderId="22" xfId="0" applyFont="1" applyFill="1" applyBorder="1"/>
    <xf numFmtId="0" fontId="0" fillId="4" borderId="22" xfId="0" applyFill="1" applyBorder="1"/>
    <xf numFmtId="0" fontId="0" fillId="13" borderId="11" xfId="0" applyFill="1" applyBorder="1"/>
    <xf numFmtId="0" fontId="0" fillId="3" borderId="11" xfId="0" applyFill="1" applyBorder="1"/>
    <xf numFmtId="0" fontId="0" fillId="8" borderId="11" xfId="0" applyFill="1" applyBorder="1"/>
    <xf numFmtId="0" fontId="2" fillId="13" borderId="11" xfId="0" applyFont="1" applyFill="1" applyBorder="1"/>
    <xf numFmtId="0" fontId="0" fillId="13" borderId="9" xfId="0" applyFill="1" applyBorder="1"/>
    <xf numFmtId="0" fontId="0" fillId="13" borderId="10" xfId="0" applyFill="1" applyBorder="1"/>
    <xf numFmtId="0" fontId="2" fillId="13" borderId="12" xfId="0" applyFont="1" applyFill="1" applyBorder="1"/>
    <xf numFmtId="0" fontId="2" fillId="13" borderId="13" xfId="0" applyFont="1" applyFill="1" applyBorder="1"/>
    <xf numFmtId="0" fontId="2" fillId="12" borderId="2" xfId="0" applyFont="1" applyFill="1" applyBorder="1"/>
    <xf numFmtId="9" fontId="2" fillId="12" borderId="2" xfId="0" applyNumberFormat="1" applyFont="1" applyFill="1" applyBorder="1"/>
    <xf numFmtId="0" fontId="0" fillId="12" borderId="0" xfId="0" applyFill="1" applyAlignment="1">
      <alignment horizontal="right"/>
    </xf>
    <xf numFmtId="9" fontId="6" fillId="12" borderId="20" xfId="2" applyNumberFormat="1" applyFont="1" applyFill="1" applyBorder="1"/>
    <xf numFmtId="0" fontId="0" fillId="6" borderId="13" xfId="0" applyFill="1" applyBorder="1"/>
    <xf numFmtId="0" fontId="2" fillId="6" borderId="18" xfId="0" applyFont="1" applyFill="1" applyBorder="1"/>
    <xf numFmtId="0" fontId="6" fillId="6" borderId="13" xfId="2" applyFont="1" applyFill="1" applyBorder="1"/>
    <xf numFmtId="0" fontId="2" fillId="6" borderId="15" xfId="0" applyFont="1" applyFill="1" applyBorder="1"/>
    <xf numFmtId="0" fontId="6" fillId="12" borderId="11" xfId="2" applyFont="1" applyFill="1" applyBorder="1"/>
    <xf numFmtId="0" fontId="6" fillId="12" borderId="17" xfId="2" applyFont="1" applyFill="1" applyBorder="1"/>
    <xf numFmtId="0" fontId="6" fillId="12" borderId="13" xfId="2" applyFont="1" applyFill="1" applyBorder="1"/>
    <xf numFmtId="0" fontId="6" fillId="12" borderId="18" xfId="2" applyFont="1" applyFill="1" applyBorder="1"/>
    <xf numFmtId="0" fontId="6" fillId="6" borderId="11" xfId="2" applyFont="1" applyFill="1" applyBorder="1"/>
    <xf numFmtId="0" fontId="2" fillId="12" borderId="11" xfId="0" applyFont="1" applyFill="1" applyBorder="1"/>
    <xf numFmtId="0" fontId="6" fillId="3" borderId="11" xfId="2" applyFont="1" applyFill="1" applyBorder="1"/>
    <xf numFmtId="0" fontId="6" fillId="4" borderId="11" xfId="2" applyFont="1" applyFill="1" applyBorder="1"/>
    <xf numFmtId="0" fontId="6" fillId="5" borderId="11" xfId="2" applyFont="1" applyFill="1" applyBorder="1"/>
    <xf numFmtId="0" fontId="6" fillId="3" borderId="13" xfId="2" applyFont="1" applyFill="1" applyBorder="1"/>
    <xf numFmtId="0" fontId="6" fillId="4" borderId="13" xfId="2" applyFont="1" applyFill="1" applyBorder="1"/>
    <xf numFmtId="9" fontId="6" fillId="12" borderId="11" xfId="2" applyNumberFormat="1" applyFont="1" applyFill="1" applyBorder="1"/>
    <xf numFmtId="9" fontId="6" fillId="12" borderId="13" xfId="2" applyNumberFormat="1" applyFont="1" applyFill="1" applyBorder="1"/>
    <xf numFmtId="9" fontId="1" fillId="5" borderId="0" xfId="1" applyFont="1" applyFill="1" applyBorder="1"/>
    <xf numFmtId="0" fontId="0" fillId="0" borderId="2" xfId="0" applyBorder="1"/>
    <xf numFmtId="0" fontId="9" fillId="0" borderId="0" xfId="0" applyFont="1"/>
    <xf numFmtId="0" fontId="0" fillId="3" borderId="3" xfId="0" applyFill="1" applyBorder="1"/>
    <xf numFmtId="9" fontId="1" fillId="3" borderId="5" xfId="1" applyFont="1" applyFill="1" applyBorder="1" applyAlignment="1">
      <alignment horizontal="right"/>
    </xf>
    <xf numFmtId="0" fontId="8" fillId="3" borderId="3" xfId="4" applyFill="1" applyBorder="1"/>
    <xf numFmtId="9" fontId="2" fillId="3" borderId="5" xfId="1" applyFont="1" applyFill="1" applyBorder="1" applyAlignment="1">
      <alignment horizontal="right"/>
    </xf>
    <xf numFmtId="9" fontId="4" fillId="3" borderId="5" xfId="1" applyFont="1" applyFill="1" applyBorder="1"/>
    <xf numFmtId="0" fontId="4" fillId="3" borderId="5" xfId="2" applyFill="1" applyBorder="1"/>
    <xf numFmtId="0" fontId="8" fillId="3" borderId="12" xfId="4" applyFill="1" applyBorder="1"/>
    <xf numFmtId="0" fontId="4" fillId="3" borderId="15" xfId="2" applyFill="1" applyBorder="1"/>
    <xf numFmtId="0" fontId="6" fillId="3" borderId="1" xfId="4" applyFont="1" applyFill="1" applyBorder="1"/>
    <xf numFmtId="0" fontId="4" fillId="3" borderId="8" xfId="2" applyFill="1" applyBorder="1"/>
    <xf numFmtId="9" fontId="2" fillId="13" borderId="15" xfId="0" applyNumberFormat="1" applyFont="1" applyFill="1" applyBorder="1"/>
    <xf numFmtId="0" fontId="2" fillId="8" borderId="6" xfId="0" applyFont="1" applyFill="1" applyBorder="1"/>
    <xf numFmtId="0" fontId="2" fillId="3" borderId="0" xfId="0" applyFont="1" applyFill="1"/>
    <xf numFmtId="0" fontId="2" fillId="3" borderId="0" xfId="0" applyFont="1" applyFill="1" applyAlignment="1">
      <alignment horizontal="right"/>
    </xf>
    <xf numFmtId="0" fontId="2" fillId="5" borderId="0" xfId="0" applyFont="1" applyFill="1"/>
    <xf numFmtId="0" fontId="2" fillId="12" borderId="4" xfId="0" applyFont="1" applyFill="1" applyBorder="1"/>
    <xf numFmtId="0" fontId="2" fillId="12" borderId="0" xfId="0" applyFont="1" applyFill="1" applyAlignment="1">
      <alignment horizontal="right"/>
    </xf>
    <xf numFmtId="164" fontId="0" fillId="0" borderId="0" xfId="0" applyNumberFormat="1"/>
    <xf numFmtId="0" fontId="2" fillId="14" borderId="2" xfId="0" applyFont="1" applyFill="1" applyBorder="1"/>
    <xf numFmtId="0" fontId="0" fillId="17" borderId="2" xfId="0" applyFill="1" applyBorder="1"/>
    <xf numFmtId="164" fontId="0" fillId="17" borderId="0" xfId="0" applyNumberFormat="1" applyFill="1"/>
    <xf numFmtId="0" fontId="0" fillId="17" borderId="0" xfId="0" applyFill="1"/>
    <xf numFmtId="0" fontId="0" fillId="17" borderId="13" xfId="0" applyFill="1" applyBorder="1"/>
    <xf numFmtId="0" fontId="2" fillId="17" borderId="2" xfId="0" applyFont="1" applyFill="1" applyBorder="1"/>
    <xf numFmtId="0" fontId="6" fillId="17" borderId="13" xfId="2" applyFont="1" applyFill="1" applyBorder="1"/>
    <xf numFmtId="164" fontId="0" fillId="17" borderId="13" xfId="0" applyNumberFormat="1" applyFill="1" applyBorder="1"/>
    <xf numFmtId="0" fontId="2" fillId="17" borderId="11" xfId="0" applyFont="1" applyFill="1" applyBorder="1"/>
    <xf numFmtId="0" fontId="4" fillId="17" borderId="0" xfId="3" applyFill="1"/>
    <xf numFmtId="0" fontId="4" fillId="17" borderId="0" xfId="2" applyFill="1"/>
    <xf numFmtId="0" fontId="6" fillId="17" borderId="11" xfId="2" applyFont="1" applyFill="1" applyBorder="1"/>
    <xf numFmtId="0" fontId="0" fillId="17" borderId="11" xfId="0" applyFill="1" applyBorder="1"/>
    <xf numFmtId="0" fontId="2" fillId="17" borderId="13" xfId="0" applyFont="1" applyFill="1" applyBorder="1"/>
    <xf numFmtId="0" fontId="6" fillId="17" borderId="2" xfId="2" applyFont="1" applyFill="1" applyBorder="1"/>
    <xf numFmtId="0" fontId="4" fillId="17" borderId="13" xfId="2" applyFill="1" applyBorder="1"/>
    <xf numFmtId="0" fontId="2" fillId="17" borderId="9" xfId="0" applyFont="1" applyFill="1" applyBorder="1"/>
    <xf numFmtId="0" fontId="2" fillId="17" borderId="10" xfId="0" applyFont="1" applyFill="1" applyBorder="1"/>
    <xf numFmtId="0" fontId="6" fillId="17" borderId="1" xfId="2" applyFont="1" applyFill="1" applyBorder="1"/>
    <xf numFmtId="0" fontId="6" fillId="17" borderId="8" xfId="2" applyFont="1" applyFill="1" applyBorder="1"/>
    <xf numFmtId="0" fontId="4" fillId="17" borderId="3" xfId="2" applyFill="1" applyBorder="1"/>
    <xf numFmtId="0" fontId="4" fillId="17" borderId="12" xfId="2" applyFill="1" applyBorder="1"/>
    <xf numFmtId="0" fontId="2" fillId="17" borderId="12" xfId="0" applyFont="1" applyFill="1" applyBorder="1"/>
    <xf numFmtId="0" fontId="2" fillId="0" borderId="15" xfId="0" applyFont="1" applyBorder="1"/>
    <xf numFmtId="0" fontId="6" fillId="17" borderId="12" xfId="2" applyFont="1" applyFill="1" applyBorder="1"/>
    <xf numFmtId="0" fontId="6" fillId="0" borderId="15" xfId="2" applyFont="1" applyBorder="1"/>
    <xf numFmtId="0" fontId="2" fillId="0" borderId="9" xfId="0" applyFont="1" applyBorder="1"/>
    <xf numFmtId="0" fontId="2" fillId="0" borderId="10" xfId="0" applyFont="1" applyBorder="1"/>
    <xf numFmtId="0" fontId="2" fillId="14" borderId="9" xfId="0" applyFont="1" applyFill="1" applyBorder="1"/>
    <xf numFmtId="0" fontId="2" fillId="14" borderId="11" xfId="0" applyFont="1" applyFill="1" applyBorder="1"/>
    <xf numFmtId="0" fontId="2" fillId="14" borderId="10" xfId="0" applyFont="1" applyFill="1" applyBorder="1"/>
    <xf numFmtId="0" fontId="2" fillId="14" borderId="1" xfId="0" applyFont="1" applyFill="1" applyBorder="1"/>
    <xf numFmtId="0" fontId="2" fillId="14" borderId="8" xfId="0" applyFont="1" applyFill="1" applyBorder="1"/>
    <xf numFmtId="0" fontId="0" fillId="14" borderId="3" xfId="0" applyFill="1" applyBorder="1"/>
    <xf numFmtId="0" fontId="0" fillId="14" borderId="0" xfId="0" applyFill="1"/>
    <xf numFmtId="164" fontId="0" fillId="14" borderId="0" xfId="0" applyNumberFormat="1" applyFill="1"/>
    <xf numFmtId="0" fontId="0" fillId="14" borderId="5" xfId="0" applyFill="1" applyBorder="1"/>
    <xf numFmtId="0" fontId="4" fillId="14" borderId="3" xfId="2" applyFill="1" applyBorder="1"/>
    <xf numFmtId="0" fontId="4" fillId="14" borderId="0" xfId="2" applyFill="1"/>
    <xf numFmtId="0" fontId="4" fillId="14" borderId="5" xfId="2" applyFill="1" applyBorder="1"/>
    <xf numFmtId="0" fontId="4" fillId="15" borderId="5" xfId="2" applyFill="1" applyBorder="1"/>
    <xf numFmtId="0" fontId="4" fillId="16" borderId="5" xfId="2" applyFill="1" applyBorder="1"/>
    <xf numFmtId="0" fontId="6" fillId="14" borderId="1" xfId="2" applyFont="1" applyFill="1" applyBorder="1"/>
    <xf numFmtId="0" fontId="6" fillId="14" borderId="2" xfId="2" applyFont="1" applyFill="1" applyBorder="1"/>
    <xf numFmtId="164" fontId="2" fillId="14" borderId="2" xfId="0" applyNumberFormat="1" applyFont="1" applyFill="1" applyBorder="1"/>
    <xf numFmtId="0" fontId="6" fillId="14" borderId="8" xfId="2" applyFont="1" applyFill="1" applyBorder="1"/>
    <xf numFmtId="0" fontId="2" fillId="12" borderId="9" xfId="0" applyFont="1" applyFill="1" applyBorder="1"/>
    <xf numFmtId="0" fontId="2" fillId="12" borderId="10" xfId="0" applyFont="1" applyFill="1" applyBorder="1"/>
    <xf numFmtId="0" fontId="2" fillId="12" borderId="1" xfId="0" applyFont="1" applyFill="1" applyBorder="1"/>
    <xf numFmtId="0" fontId="2" fillId="12" borderId="8" xfId="0" applyFont="1" applyFill="1" applyBorder="1"/>
    <xf numFmtId="0" fontId="0" fillId="12" borderId="3" xfId="0" applyFill="1" applyBorder="1"/>
    <xf numFmtId="0" fontId="0" fillId="12" borderId="5" xfId="0" applyFill="1" applyBorder="1"/>
    <xf numFmtId="0" fontId="4" fillId="12" borderId="3" xfId="2" applyFill="1" applyBorder="1"/>
    <xf numFmtId="0" fontId="4" fillId="7" borderId="5" xfId="2" applyFill="1" applyBorder="1"/>
    <xf numFmtId="0" fontId="4" fillId="12" borderId="5" xfId="2" applyFill="1" applyBorder="1"/>
    <xf numFmtId="0" fontId="4" fillId="10" borderId="5" xfId="2" applyFill="1" applyBorder="1"/>
    <xf numFmtId="0" fontId="6" fillId="12" borderId="1" xfId="2" applyFont="1" applyFill="1" applyBorder="1"/>
    <xf numFmtId="0" fontId="6" fillId="12" borderId="2" xfId="2" applyFont="1" applyFill="1" applyBorder="1"/>
    <xf numFmtId="9" fontId="6" fillId="12" borderId="2" xfId="2" applyNumberFormat="1" applyFont="1" applyFill="1" applyBorder="1"/>
    <xf numFmtId="0" fontId="6" fillId="12" borderId="8" xfId="2" applyFont="1" applyFill="1" applyBorder="1"/>
    <xf numFmtId="0" fontId="0" fillId="3" borderId="1" xfId="0" applyFill="1" applyBorder="1"/>
    <xf numFmtId="0" fontId="0" fillId="3" borderId="5" xfId="1" applyNumberFormat="1" applyFont="1" applyFill="1" applyBorder="1"/>
    <xf numFmtId="0" fontId="0" fillId="9" borderId="5" xfId="1" applyNumberFormat="1" applyFont="1" applyFill="1" applyBorder="1"/>
    <xf numFmtId="0" fontId="4" fillId="10" borderId="5" xfId="1" applyNumberFormat="1" applyFont="1" applyFill="1" applyBorder="1"/>
    <xf numFmtId="0" fontId="4" fillId="3" borderId="5" xfId="1" applyNumberFormat="1" applyFont="1" applyFill="1" applyBorder="1" applyAlignment="1">
      <alignment horizontal="right"/>
    </xf>
    <xf numFmtId="0" fontId="4" fillId="9" borderId="5" xfId="2" applyFill="1" applyBorder="1"/>
    <xf numFmtId="0" fontId="4" fillId="3" borderId="5" xfId="1" applyNumberFormat="1" applyFont="1" applyFill="1" applyBorder="1"/>
    <xf numFmtId="0" fontId="4" fillId="9" borderId="5" xfId="1" applyNumberFormat="1" applyFont="1" applyFill="1" applyBorder="1"/>
    <xf numFmtId="0" fontId="6" fillId="17" borderId="9" xfId="2" applyFont="1" applyFill="1" applyBorder="1"/>
    <xf numFmtId="164" fontId="2" fillId="17" borderId="11" xfId="0" applyNumberFormat="1" applyFont="1" applyFill="1" applyBorder="1"/>
    <xf numFmtId="0" fontId="6" fillId="17" borderId="10" xfId="2" applyFont="1" applyFill="1" applyBorder="1"/>
    <xf numFmtId="0" fontId="6" fillId="17" borderId="15" xfId="2" applyFont="1" applyFill="1" applyBorder="1"/>
    <xf numFmtId="0" fontId="6" fillId="12" borderId="9" xfId="2" applyFont="1" applyFill="1" applyBorder="1"/>
    <xf numFmtId="0" fontId="6" fillId="12" borderId="10" xfId="2" applyFont="1" applyFill="1" applyBorder="1"/>
    <xf numFmtId="0" fontId="6" fillId="12" borderId="12" xfId="2" applyFont="1" applyFill="1" applyBorder="1"/>
    <xf numFmtId="0" fontId="6" fillId="12" borderId="15" xfId="2" applyFont="1" applyFill="1" applyBorder="1"/>
    <xf numFmtId="0" fontId="6" fillId="17" borderId="0" xfId="2" applyFont="1" applyFill="1"/>
    <xf numFmtId="164" fontId="0" fillId="17" borderId="11" xfId="0" applyNumberFormat="1" applyFill="1" applyBorder="1"/>
    <xf numFmtId="0" fontId="0" fillId="17" borderId="10" xfId="0" applyFill="1" applyBorder="1"/>
    <xf numFmtId="0" fontId="6" fillId="6" borderId="3" xfId="2" applyFont="1" applyFill="1" applyBorder="1"/>
    <xf numFmtId="0" fontId="0" fillId="17" borderId="5" xfId="0" applyFill="1" applyBorder="1"/>
    <xf numFmtId="0" fontId="0" fillId="17" borderId="9" xfId="0" applyFill="1" applyBorder="1"/>
    <xf numFmtId="0" fontId="0" fillId="17" borderId="3" xfId="0" applyFill="1" applyBorder="1"/>
    <xf numFmtId="0" fontId="0" fillId="17" borderId="12" xfId="0" applyFill="1" applyBorder="1"/>
    <xf numFmtId="0" fontId="0" fillId="17" borderId="15" xfId="0" applyFill="1" applyBorder="1"/>
    <xf numFmtId="0" fontId="2" fillId="17" borderId="0" xfId="0" applyFont="1" applyFill="1"/>
    <xf numFmtId="0" fontId="2" fillId="6" borderId="2" xfId="0" applyFont="1" applyFill="1" applyBorder="1"/>
    <xf numFmtId="164" fontId="0" fillId="6" borderId="2" xfId="0" applyNumberFormat="1" applyFill="1" applyBorder="1"/>
    <xf numFmtId="0" fontId="2" fillId="6" borderId="8" xfId="0" applyFont="1" applyFill="1" applyBorder="1"/>
    <xf numFmtId="0" fontId="4" fillId="6" borderId="10" xfId="2" applyFill="1" applyBorder="1"/>
    <xf numFmtId="0" fontId="6" fillId="8" borderId="9" xfId="2" applyFont="1" applyFill="1" applyBorder="1"/>
    <xf numFmtId="0" fontId="6" fillId="8" borderId="11" xfId="2" applyFont="1" applyFill="1" applyBorder="1"/>
    <xf numFmtId="164" fontId="2" fillId="8" borderId="11" xfId="0" applyNumberFormat="1" applyFont="1" applyFill="1" applyBorder="1"/>
    <xf numFmtId="0" fontId="6" fillId="3" borderId="0" xfId="2" applyFont="1" applyFill="1"/>
    <xf numFmtId="0" fontId="6" fillId="3" borderId="3" xfId="2" applyFont="1" applyFill="1" applyBorder="1"/>
    <xf numFmtId="0" fontId="6" fillId="3" borderId="12" xfId="2" applyFont="1" applyFill="1" applyBorder="1"/>
    <xf numFmtId="0" fontId="6" fillId="3" borderId="9" xfId="2" applyFont="1" applyFill="1" applyBorder="1"/>
    <xf numFmtId="164" fontId="2" fillId="3" borderId="11" xfId="0" applyNumberFormat="1" applyFont="1" applyFill="1" applyBorder="1"/>
    <xf numFmtId="0" fontId="6" fillId="3" borderId="10" xfId="2" applyFont="1" applyFill="1" applyBorder="1"/>
    <xf numFmtId="0" fontId="6" fillId="4" borderId="0" xfId="2" applyFont="1" applyFill="1"/>
    <xf numFmtId="0" fontId="6" fillId="4" borderId="3" xfId="2" applyFont="1" applyFill="1" applyBorder="1"/>
    <xf numFmtId="0" fontId="6" fillId="4" borderId="12" xfId="2" applyFont="1" applyFill="1" applyBorder="1"/>
    <xf numFmtId="0" fontId="6" fillId="4" borderId="9" xfId="2" applyFont="1" applyFill="1" applyBorder="1"/>
    <xf numFmtId="164" fontId="2" fillId="4" borderId="11" xfId="0" applyNumberFormat="1" applyFont="1" applyFill="1" applyBorder="1"/>
    <xf numFmtId="0" fontId="6" fillId="4" borderId="10" xfId="2" applyFont="1" applyFill="1" applyBorder="1"/>
    <xf numFmtId="0" fontId="4" fillId="4" borderId="3" xfId="2" applyFill="1" applyBorder="1"/>
    <xf numFmtId="0" fontId="6" fillId="5" borderId="3" xfId="2" applyFont="1" applyFill="1" applyBorder="1"/>
    <xf numFmtId="0" fontId="6" fillId="5" borderId="9" xfId="2" applyFont="1" applyFill="1" applyBorder="1"/>
    <xf numFmtId="164" fontId="2" fillId="5" borderId="10" xfId="0" applyNumberFormat="1" applyFont="1" applyFill="1" applyBorder="1"/>
    <xf numFmtId="0" fontId="2" fillId="6" borderId="9" xfId="0" applyFont="1" applyFill="1" applyBorder="1"/>
    <xf numFmtId="0" fontId="0" fillId="6" borderId="10" xfId="0" applyFill="1" applyBorder="1"/>
    <xf numFmtId="0" fontId="6" fillId="8" borderId="0" xfId="2" applyFont="1" applyFill="1"/>
    <xf numFmtId="0" fontId="6" fillId="8" borderId="3" xfId="2" applyFont="1" applyFill="1" applyBorder="1"/>
    <xf numFmtId="0" fontId="2" fillId="4" borderId="5" xfId="0" applyFont="1" applyFill="1" applyBorder="1"/>
    <xf numFmtId="0" fontId="2" fillId="4" borderId="15" xfId="0" applyFont="1" applyFill="1" applyBorder="1"/>
    <xf numFmtId="9" fontId="0" fillId="8" borderId="0" xfId="0" applyNumberFormat="1" applyFill="1"/>
    <xf numFmtId="9" fontId="4" fillId="4" borderId="5" xfId="1" applyFont="1" applyFill="1" applyBorder="1"/>
    <xf numFmtId="9" fontId="4" fillId="2" borderId="13" xfId="1" applyFont="1" applyFill="1" applyBorder="1"/>
    <xf numFmtId="9" fontId="0" fillId="8" borderId="13" xfId="0" applyNumberFormat="1" applyFill="1" applyBorder="1"/>
    <xf numFmtId="9" fontId="4" fillId="3" borderId="13" xfId="1" applyFont="1" applyFill="1" applyBorder="1"/>
    <xf numFmtId="9" fontId="4" fillId="3" borderId="15" xfId="1" applyFont="1" applyFill="1" applyBorder="1"/>
    <xf numFmtId="0" fontId="4" fillId="4" borderId="12" xfId="2" applyFill="1" applyBorder="1"/>
    <xf numFmtId="9" fontId="4" fillId="4" borderId="15" xfId="1" applyFont="1" applyFill="1" applyBorder="1"/>
    <xf numFmtId="9" fontId="4" fillId="8" borderId="0" xfId="2" applyNumberFormat="1" applyFill="1"/>
    <xf numFmtId="9" fontId="0" fillId="17" borderId="0" xfId="0" applyNumberFormat="1" applyFill="1"/>
    <xf numFmtId="9" fontId="2" fillId="17" borderId="2" xfId="0" applyNumberFormat="1" applyFont="1" applyFill="1" applyBorder="1"/>
    <xf numFmtId="9" fontId="2" fillId="17" borderId="11" xfId="0" applyNumberFormat="1" applyFont="1" applyFill="1" applyBorder="1"/>
    <xf numFmtId="9" fontId="2" fillId="17" borderId="13" xfId="0" applyNumberFormat="1" applyFont="1" applyFill="1" applyBorder="1"/>
    <xf numFmtId="9" fontId="0" fillId="17" borderId="13" xfId="0" applyNumberFormat="1" applyFill="1" applyBorder="1"/>
    <xf numFmtId="0" fontId="0" fillId="8" borderId="9" xfId="0" applyFill="1" applyBorder="1"/>
    <xf numFmtId="0" fontId="6" fillId="8" borderId="12" xfId="2" applyFont="1" applyFill="1" applyBorder="1"/>
    <xf numFmtId="0" fontId="6" fillId="8" borderId="13" xfId="2" applyFont="1" applyFill="1" applyBorder="1"/>
    <xf numFmtId="9" fontId="4" fillId="3" borderId="11" xfId="1" applyFont="1" applyFill="1" applyBorder="1"/>
    <xf numFmtId="9" fontId="4" fillId="3" borderId="10" xfId="1" applyFont="1" applyFill="1" applyBorder="1"/>
    <xf numFmtId="0" fontId="2" fillId="3" borderId="5" xfId="0" applyFont="1" applyFill="1" applyBorder="1"/>
    <xf numFmtId="0" fontId="2" fillId="3" borderId="15" xfId="0" applyFont="1" applyFill="1" applyBorder="1"/>
    <xf numFmtId="0" fontId="4" fillId="4" borderId="9" xfId="2" applyFill="1" applyBorder="1"/>
    <xf numFmtId="0" fontId="4" fillId="4" borderId="11" xfId="2" applyFill="1" applyBorder="1"/>
    <xf numFmtId="9" fontId="4" fillId="4" borderId="11" xfId="1" applyFont="1" applyFill="1" applyBorder="1"/>
    <xf numFmtId="9" fontId="4" fillId="4" borderId="10" xfId="1" applyFont="1" applyFill="1" applyBorder="1"/>
    <xf numFmtId="0" fontId="4" fillId="5" borderId="9" xfId="3" applyFill="1" applyBorder="1"/>
    <xf numFmtId="0" fontId="4" fillId="5" borderId="11" xfId="3" applyFill="1" applyBorder="1"/>
    <xf numFmtId="9" fontId="4" fillId="5" borderId="10" xfId="1" applyFont="1" applyFill="1" applyBorder="1"/>
    <xf numFmtId="0" fontId="2" fillId="5" borderId="5" xfId="1" applyNumberFormat="1" applyFont="1" applyFill="1" applyBorder="1"/>
    <xf numFmtId="0" fontId="2" fillId="5" borderId="5" xfId="1" applyNumberFormat="1" applyFont="1" applyFill="1" applyBorder="1" applyAlignment="1">
      <alignment horizontal="right"/>
    </xf>
    <xf numFmtId="0" fontId="2" fillId="5" borderId="12" xfId="0" applyFont="1" applyFill="1" applyBorder="1"/>
    <xf numFmtId="0" fontId="6" fillId="5" borderId="13" xfId="2" applyFont="1" applyFill="1" applyBorder="1"/>
    <xf numFmtId="0" fontId="2" fillId="5" borderId="15" xfId="1" applyNumberFormat="1" applyFont="1" applyFill="1" applyBorder="1" applyAlignment="1">
      <alignment horizontal="right"/>
    </xf>
    <xf numFmtId="1" fontId="4" fillId="3" borderId="0" xfId="1" applyNumberFormat="1" applyFont="1" applyFill="1" applyBorder="1"/>
    <xf numFmtId="1" fontId="4" fillId="3" borderId="0" xfId="2" applyNumberFormat="1" applyFill="1"/>
    <xf numFmtId="1" fontId="4" fillId="4" borderId="0" xfId="1" applyNumberFormat="1" applyFont="1" applyFill="1" applyBorder="1"/>
    <xf numFmtId="0" fontId="0" fillId="4" borderId="13" xfId="0" applyFill="1" applyBorder="1"/>
    <xf numFmtId="9" fontId="4" fillId="17" borderId="15" xfId="2" applyNumberFormat="1" applyFill="1" applyBorder="1"/>
    <xf numFmtId="0" fontId="6" fillId="13" borderId="13" xfId="2" applyFont="1" applyFill="1" applyBorder="1"/>
    <xf numFmtId="9" fontId="6" fillId="13" borderId="15" xfId="2" applyNumberFormat="1" applyFont="1" applyFill="1" applyBorder="1"/>
    <xf numFmtId="9" fontId="6" fillId="3" borderId="15" xfId="2" applyNumberFormat="1" applyFont="1" applyFill="1" applyBorder="1"/>
    <xf numFmtId="9" fontId="6" fillId="8" borderId="13" xfId="1" applyFont="1" applyFill="1" applyBorder="1"/>
    <xf numFmtId="0" fontId="4" fillId="0" borderId="23" xfId="2" applyBorder="1"/>
    <xf numFmtId="0" fontId="4" fillId="0" borderId="24" xfId="2" applyBorder="1"/>
    <xf numFmtId="0" fontId="4" fillId="0" borderId="25" xfId="2" applyBorder="1"/>
    <xf numFmtId="0" fontId="4" fillId="6" borderId="11" xfId="2" applyFill="1" applyBorder="1"/>
    <xf numFmtId="0" fontId="2" fillId="3" borderId="11" xfId="0" applyFont="1" applyFill="1" applyBorder="1" applyAlignment="1">
      <alignment horizontal="right"/>
    </xf>
    <xf numFmtId="0" fontId="2" fillId="8" borderId="11" xfId="0" applyFont="1" applyFill="1" applyBorder="1" applyAlignment="1">
      <alignment horizontal="right"/>
    </xf>
    <xf numFmtId="0" fontId="2" fillId="5" borderId="11" xfId="0" applyFont="1" applyFill="1" applyBorder="1" applyAlignment="1">
      <alignment horizontal="right"/>
    </xf>
    <xf numFmtId="9" fontId="2" fillId="5" borderId="10" xfId="1" applyFont="1" applyFill="1" applyBorder="1" applyAlignment="1">
      <alignment horizontal="right"/>
    </xf>
    <xf numFmtId="0" fontId="0" fillId="0" borderId="13" xfId="0" applyBorder="1"/>
    <xf numFmtId="0" fontId="10" fillId="0" borderId="3" xfId="2" applyFont="1" applyBorder="1"/>
    <xf numFmtId="0" fontId="11" fillId="0" borderId="3" xfId="0" applyFont="1" applyBorder="1"/>
    <xf numFmtId="0" fontId="11" fillId="0" borderId="9" xfId="0" applyFont="1" applyBorder="1"/>
    <xf numFmtId="0" fontId="11" fillId="0" borderId="10" xfId="0" applyFont="1" applyBorder="1"/>
    <xf numFmtId="0" fontId="11" fillId="0" borderId="5" xfId="0" applyFont="1" applyBorder="1"/>
    <xf numFmtId="0" fontId="11" fillId="0" borderId="12" xfId="0" applyFont="1" applyBorder="1"/>
    <xf numFmtId="0" fontId="10" fillId="11" borderId="0" xfId="0" applyFont="1" applyFill="1"/>
    <xf numFmtId="0" fontId="10" fillId="11" borderId="13" xfId="0" applyFont="1" applyFill="1" applyBorder="1"/>
    <xf numFmtId="0" fontId="11" fillId="0" borderId="15" xfId="0" applyFont="1" applyBorder="1"/>
    <xf numFmtId="0" fontId="10" fillId="0" borderId="5" xfId="2" applyFont="1" applyBorder="1"/>
    <xf numFmtId="0" fontId="10" fillId="0" borderId="15" xfId="2" applyFont="1" applyBorder="1"/>
    <xf numFmtId="0" fontId="10" fillId="0" borderId="0" xfId="2" applyFont="1"/>
    <xf numFmtId="0" fontId="11" fillId="0" borderId="0" xfId="0" applyFont="1"/>
    <xf numFmtId="0" fontId="11" fillId="11" borderId="0" xfId="0" applyFont="1" applyFill="1"/>
    <xf numFmtId="0" fontId="10" fillId="0" borderId="0" xfId="3" applyFont="1"/>
    <xf numFmtId="0" fontId="10" fillId="11" borderId="0" xfId="3" applyFont="1" applyFill="1"/>
    <xf numFmtId="0" fontId="6" fillId="0" borderId="1" xfId="2" applyFont="1" applyBorder="1"/>
    <xf numFmtId="0" fontId="13" fillId="0" borderId="3" xfId="0" applyFont="1" applyBorder="1"/>
    <xf numFmtId="0" fontId="13" fillId="0" borderId="5" xfId="2" applyFont="1" applyBorder="1"/>
    <xf numFmtId="0" fontId="2" fillId="0" borderId="1" xfId="0" applyFont="1" applyBorder="1"/>
    <xf numFmtId="0" fontId="2" fillId="18" borderId="9" xfId="0" applyFont="1" applyFill="1" applyBorder="1"/>
    <xf numFmtId="0" fontId="2" fillId="18" borderId="11" xfId="0" applyFont="1" applyFill="1" applyBorder="1"/>
    <xf numFmtId="0" fontId="2" fillId="18" borderId="10" xfId="0" applyFont="1" applyFill="1" applyBorder="1"/>
    <xf numFmtId="0" fontId="6" fillId="18" borderId="1" xfId="2" applyFont="1" applyFill="1" applyBorder="1"/>
    <xf numFmtId="0" fontId="6" fillId="18" borderId="2" xfId="2" applyFont="1" applyFill="1" applyBorder="1"/>
    <xf numFmtId="0" fontId="6" fillId="18" borderId="8" xfId="2" applyFont="1" applyFill="1" applyBorder="1"/>
    <xf numFmtId="0" fontId="4" fillId="18" borderId="0" xfId="2" applyFill="1"/>
    <xf numFmtId="0" fontId="2" fillId="18" borderId="1" xfId="0" applyFont="1" applyFill="1" applyBorder="1"/>
    <xf numFmtId="0" fontId="2" fillId="18" borderId="2" xfId="0" applyFont="1" applyFill="1" applyBorder="1"/>
    <xf numFmtId="0" fontId="2" fillId="11" borderId="9" xfId="0" applyFont="1" applyFill="1" applyBorder="1"/>
    <xf numFmtId="0" fontId="2" fillId="11" borderId="11" xfId="0" applyFont="1" applyFill="1" applyBorder="1"/>
    <xf numFmtId="0" fontId="2" fillId="11" borderId="10" xfId="0" applyFont="1" applyFill="1" applyBorder="1"/>
    <xf numFmtId="0" fontId="6" fillId="18" borderId="9" xfId="2" applyFont="1" applyFill="1" applyBorder="1"/>
    <xf numFmtId="0" fontId="6" fillId="18" borderId="11" xfId="2" applyFont="1" applyFill="1" applyBorder="1"/>
    <xf numFmtId="0" fontId="6" fillId="18" borderId="10" xfId="2" applyFont="1" applyFill="1" applyBorder="1"/>
    <xf numFmtId="0" fontId="4" fillId="18" borderId="13" xfId="2" applyFill="1" applyBorder="1"/>
    <xf numFmtId="0" fontId="6" fillId="11" borderId="9" xfId="2" applyFont="1" applyFill="1" applyBorder="1"/>
    <xf numFmtId="0" fontId="6" fillId="11" borderId="11" xfId="2" applyFont="1" applyFill="1" applyBorder="1"/>
    <xf numFmtId="0" fontId="6" fillId="11" borderId="10" xfId="2" applyFont="1" applyFill="1" applyBorder="1"/>
    <xf numFmtId="0" fontId="2" fillId="13" borderId="11" xfId="0" applyFont="1" applyFill="1" applyBorder="1" applyAlignment="1">
      <alignment horizontal="center"/>
    </xf>
    <xf numFmtId="10" fontId="2" fillId="3" borderId="17" xfId="1" applyNumberFormat="1" applyFont="1" applyFill="1" applyBorder="1" applyAlignment="1">
      <alignment horizontal="right"/>
    </xf>
    <xf numFmtId="0" fontId="2" fillId="4" borderId="11" xfId="0" applyFont="1" applyFill="1" applyBorder="1" applyAlignment="1">
      <alignment horizontal="right"/>
    </xf>
    <xf numFmtId="9" fontId="2" fillId="4" borderId="11" xfId="1" applyFont="1" applyFill="1" applyBorder="1" applyAlignment="1">
      <alignment horizontal="right"/>
    </xf>
    <xf numFmtId="0" fontId="4" fillId="0" borderId="27" xfId="2" applyBorder="1"/>
    <xf numFmtId="0" fontId="4" fillId="18" borderId="27" xfId="2" applyFill="1" applyBorder="1"/>
    <xf numFmtId="0" fontId="4" fillId="17" borderId="27" xfId="2" applyFill="1" applyBorder="1"/>
    <xf numFmtId="0" fontId="4" fillId="13" borderId="27" xfId="2" applyFill="1" applyBorder="1"/>
    <xf numFmtId="0" fontId="4" fillId="3" borderId="27" xfId="2" applyFill="1" applyBorder="1"/>
    <xf numFmtId="0" fontId="4" fillId="4" borderId="27" xfId="2" applyFill="1" applyBorder="1"/>
    <xf numFmtId="0" fontId="4" fillId="5" borderId="27" xfId="2" applyFill="1" applyBorder="1"/>
    <xf numFmtId="0" fontId="0" fillId="5" borderId="27" xfId="0" applyFill="1" applyBorder="1"/>
    <xf numFmtId="0" fontId="12" fillId="0" borderId="27" xfId="2" applyFont="1" applyBorder="1"/>
    <xf numFmtId="0" fontId="4" fillId="11" borderId="27" xfId="2" applyFill="1" applyBorder="1"/>
    <xf numFmtId="0" fontId="6" fillId="0" borderId="27" xfId="2" applyFont="1" applyBorder="1"/>
    <xf numFmtId="0" fontId="4" fillId="0" borderId="6" xfId="2" applyBorder="1"/>
    <xf numFmtId="0" fontId="12" fillId="0" borderId="6" xfId="2" applyFont="1" applyBorder="1"/>
    <xf numFmtId="0" fontId="12" fillId="11" borderId="6" xfId="2" applyFont="1" applyFill="1" applyBorder="1"/>
    <xf numFmtId="0" fontId="4" fillId="0" borderId="28" xfId="2" applyBorder="1"/>
    <xf numFmtId="0" fontId="4" fillId="0" borderId="29" xfId="2" applyBorder="1"/>
    <xf numFmtId="9" fontId="4" fillId="0" borderId="30" xfId="2" applyNumberFormat="1" applyBorder="1"/>
    <xf numFmtId="0" fontId="4" fillId="0" borderId="31" xfId="2" applyBorder="1"/>
    <xf numFmtId="9" fontId="4" fillId="0" borderId="32" xfId="2" applyNumberFormat="1" applyBorder="1"/>
    <xf numFmtId="0" fontId="4" fillId="11" borderId="31" xfId="2" applyFill="1" applyBorder="1"/>
    <xf numFmtId="0" fontId="4" fillId="0" borderId="33" xfId="2" applyBorder="1"/>
    <xf numFmtId="0" fontId="4" fillId="0" borderId="34" xfId="2" applyBorder="1"/>
    <xf numFmtId="9" fontId="4" fillId="0" borderId="35" xfId="2" applyNumberFormat="1" applyBorder="1"/>
    <xf numFmtId="0" fontId="4" fillId="18" borderId="28" xfId="2" applyFill="1" applyBorder="1"/>
    <xf numFmtId="0" fontId="4" fillId="18" borderId="29" xfId="2" applyFill="1" applyBorder="1"/>
    <xf numFmtId="9" fontId="4" fillId="18" borderId="30" xfId="2" applyNumberFormat="1" applyFill="1" applyBorder="1"/>
    <xf numFmtId="0" fontId="4" fillId="18" borderId="31" xfId="2" applyFill="1" applyBorder="1"/>
    <xf numFmtId="9" fontId="4" fillId="18" borderId="32" xfId="2" applyNumberFormat="1" applyFill="1" applyBorder="1"/>
    <xf numFmtId="0" fontId="4" fillId="18" borderId="33" xfId="2" applyFill="1" applyBorder="1"/>
    <xf numFmtId="0" fontId="4" fillId="18" borderId="34" xfId="2" applyFill="1" applyBorder="1"/>
    <xf numFmtId="9" fontId="4" fillId="18" borderId="35" xfId="2" applyNumberFormat="1" applyFill="1" applyBorder="1"/>
    <xf numFmtId="0" fontId="4" fillId="17" borderId="28" xfId="2" applyFill="1" applyBorder="1"/>
    <xf numFmtId="0" fontId="4" fillId="17" borderId="29" xfId="2" applyFill="1" applyBorder="1"/>
    <xf numFmtId="9" fontId="4" fillId="17" borderId="30" xfId="2" applyNumberFormat="1" applyFill="1" applyBorder="1"/>
    <xf numFmtId="0" fontId="4" fillId="17" borderId="31" xfId="2" applyFill="1" applyBorder="1"/>
    <xf numFmtId="9" fontId="4" fillId="17" borderId="32" xfId="2" applyNumberFormat="1" applyFill="1" applyBorder="1"/>
    <xf numFmtId="0" fontId="4" fillId="17" borderId="33" xfId="2" applyFill="1" applyBorder="1"/>
    <xf numFmtId="0" fontId="4" fillId="17" borderId="34" xfId="2" applyFill="1" applyBorder="1"/>
    <xf numFmtId="9" fontId="4" fillId="17" borderId="35" xfId="2" applyNumberFormat="1" applyFill="1" applyBorder="1"/>
    <xf numFmtId="0" fontId="4" fillId="13" borderId="28" xfId="2" applyFill="1" applyBorder="1"/>
    <xf numFmtId="0" fontId="4" fillId="13" borderId="29" xfId="2" applyFill="1" applyBorder="1"/>
    <xf numFmtId="0" fontId="4" fillId="13" borderId="30" xfId="2" applyFill="1" applyBorder="1"/>
    <xf numFmtId="0" fontId="4" fillId="13" borderId="31" xfId="2" applyFill="1" applyBorder="1"/>
    <xf numFmtId="0" fontId="4" fillId="13" borderId="32" xfId="2" applyFill="1" applyBorder="1"/>
    <xf numFmtId="0" fontId="4" fillId="13" borderId="33" xfId="2" applyFill="1" applyBorder="1"/>
    <xf numFmtId="0" fontId="4" fillId="13" borderId="34" xfId="2" applyFill="1" applyBorder="1"/>
    <xf numFmtId="0" fontId="4" fillId="13" borderId="35" xfId="2" applyFill="1" applyBorder="1"/>
    <xf numFmtId="0" fontId="4" fillId="3" borderId="28" xfId="2" applyFill="1" applyBorder="1"/>
    <xf numFmtId="0" fontId="4" fillId="3" borderId="29" xfId="2" applyFill="1" applyBorder="1"/>
    <xf numFmtId="9" fontId="0" fillId="3" borderId="30" xfId="1" applyFont="1" applyFill="1" applyBorder="1"/>
    <xf numFmtId="0" fontId="4" fillId="3" borderId="31" xfId="2" applyFill="1" applyBorder="1"/>
    <xf numFmtId="9" fontId="0" fillId="3" borderId="32" xfId="1" applyFont="1" applyFill="1" applyBorder="1"/>
    <xf numFmtId="0" fontId="4" fillId="3" borderId="33" xfId="2" applyFill="1" applyBorder="1"/>
    <xf numFmtId="0" fontId="4" fillId="3" borderId="34" xfId="2" applyFill="1" applyBorder="1"/>
    <xf numFmtId="9" fontId="0" fillId="3" borderId="35" xfId="1" applyFont="1" applyFill="1" applyBorder="1"/>
    <xf numFmtId="0" fontId="4" fillId="4" borderId="28" xfId="2" applyFill="1" applyBorder="1"/>
    <xf numFmtId="0" fontId="4" fillId="4" borderId="29" xfId="2" applyFill="1" applyBorder="1"/>
    <xf numFmtId="9" fontId="0" fillId="4" borderId="30" xfId="1" applyFont="1" applyFill="1" applyBorder="1"/>
    <xf numFmtId="0" fontId="4" fillId="4" borderId="31" xfId="2" applyFill="1" applyBorder="1"/>
    <xf numFmtId="9" fontId="0" fillId="4" borderId="32" xfId="1" applyFont="1" applyFill="1" applyBorder="1"/>
    <xf numFmtId="0" fontId="4" fillId="4" borderId="33" xfId="2" applyFill="1" applyBorder="1"/>
    <xf numFmtId="0" fontId="4" fillId="4" borderId="34" xfId="2" applyFill="1" applyBorder="1"/>
    <xf numFmtId="9" fontId="0" fillId="4" borderId="35" xfId="1" applyFont="1" applyFill="1" applyBorder="1"/>
    <xf numFmtId="0" fontId="4" fillId="5" borderId="28" xfId="2" applyFill="1" applyBorder="1"/>
    <xf numFmtId="0" fontId="4" fillId="5" borderId="29" xfId="2" applyFill="1" applyBorder="1"/>
    <xf numFmtId="9" fontId="0" fillId="5" borderId="30" xfId="1" applyFont="1" applyFill="1" applyBorder="1"/>
    <xf numFmtId="0" fontId="0" fillId="5" borderId="31" xfId="0" applyFill="1" applyBorder="1"/>
    <xf numFmtId="9" fontId="0" fillId="5" borderId="32" xfId="1" applyFont="1" applyFill="1" applyBorder="1"/>
    <xf numFmtId="0" fontId="4" fillId="5" borderId="31" xfId="2" applyFill="1" applyBorder="1"/>
    <xf numFmtId="0" fontId="0" fillId="5" borderId="33" xfId="0" applyFill="1" applyBorder="1"/>
    <xf numFmtId="0" fontId="0" fillId="5" borderId="34" xfId="0" applyFill="1" applyBorder="1"/>
    <xf numFmtId="9" fontId="0" fillId="5" borderId="35" xfId="1" applyFont="1" applyFill="1" applyBorder="1"/>
    <xf numFmtId="0" fontId="6" fillId="0" borderId="6" xfId="2" applyFont="1" applyBorder="1"/>
    <xf numFmtId="0" fontId="6" fillId="0" borderId="36" xfId="2" applyFont="1" applyBorder="1"/>
    <xf numFmtId="0" fontId="6" fillId="0" borderId="37" xfId="2" applyFont="1" applyBorder="1"/>
    <xf numFmtId="9" fontId="6" fillId="0" borderId="38" xfId="2" applyNumberFormat="1" applyFont="1" applyBorder="1"/>
    <xf numFmtId="0" fontId="6" fillId="18" borderId="36" xfId="2" applyFont="1" applyFill="1" applyBorder="1"/>
    <xf numFmtId="0" fontId="6" fillId="18" borderId="37" xfId="2" applyFont="1" applyFill="1" applyBorder="1"/>
    <xf numFmtId="9" fontId="6" fillId="18" borderId="38" xfId="2" applyNumberFormat="1" applyFont="1" applyFill="1" applyBorder="1"/>
    <xf numFmtId="0" fontId="6" fillId="17" borderId="36" xfId="2" applyFont="1" applyFill="1" applyBorder="1"/>
    <xf numFmtId="0" fontId="6" fillId="17" borderId="37" xfId="2" applyFont="1" applyFill="1" applyBorder="1"/>
    <xf numFmtId="9" fontId="6" fillId="17" borderId="38" xfId="2" applyNumberFormat="1" applyFont="1" applyFill="1" applyBorder="1"/>
    <xf numFmtId="0" fontId="6" fillId="13" borderId="36" xfId="2" applyFont="1" applyFill="1" applyBorder="1"/>
    <xf numFmtId="0" fontId="6" fillId="13" borderId="37" xfId="2" applyFont="1" applyFill="1" applyBorder="1"/>
    <xf numFmtId="9" fontId="6" fillId="13" borderId="38" xfId="2" applyNumberFormat="1" applyFont="1" applyFill="1" applyBorder="1"/>
    <xf numFmtId="0" fontId="6" fillId="3" borderId="36" xfId="2" applyFont="1" applyFill="1" applyBorder="1"/>
    <xf numFmtId="0" fontId="6" fillId="3" borderId="37" xfId="2" applyFont="1" applyFill="1" applyBorder="1"/>
    <xf numFmtId="9" fontId="2" fillId="3" borderId="38" xfId="1" applyFont="1" applyFill="1" applyBorder="1"/>
    <xf numFmtId="0" fontId="6" fillId="4" borderId="36" xfId="2" applyFont="1" applyFill="1" applyBorder="1"/>
    <xf numFmtId="0" fontId="6" fillId="4" borderId="37" xfId="2" applyFont="1" applyFill="1" applyBorder="1"/>
    <xf numFmtId="9" fontId="2" fillId="4" borderId="38" xfId="1" applyFont="1" applyFill="1" applyBorder="1"/>
    <xf numFmtId="0" fontId="6" fillId="5" borderId="36" xfId="2" applyFont="1" applyFill="1" applyBorder="1"/>
    <xf numFmtId="0" fontId="6" fillId="5" borderId="37" xfId="2" applyFont="1" applyFill="1" applyBorder="1"/>
    <xf numFmtId="9" fontId="2" fillId="5" borderId="38" xfId="1" applyFont="1" applyFill="1" applyBorder="1"/>
    <xf numFmtId="0" fontId="6" fillId="0" borderId="12" xfId="2" applyFont="1" applyBorder="1"/>
    <xf numFmtId="9" fontId="6" fillId="0" borderId="15" xfId="2" applyNumberFormat="1" applyFont="1" applyBorder="1"/>
    <xf numFmtId="0" fontId="6" fillId="18" borderId="12" xfId="2" applyFont="1" applyFill="1" applyBorder="1"/>
    <xf numFmtId="0" fontId="6" fillId="18" borderId="13" xfId="2" applyFont="1" applyFill="1" applyBorder="1"/>
    <xf numFmtId="9" fontId="6" fillId="18" borderId="15" xfId="2" applyNumberFormat="1" applyFont="1" applyFill="1" applyBorder="1"/>
    <xf numFmtId="0" fontId="6" fillId="17" borderId="25" xfId="2" applyFont="1" applyFill="1" applyBorder="1"/>
    <xf numFmtId="9" fontId="6" fillId="17" borderId="26" xfId="2" applyNumberFormat="1" applyFont="1" applyFill="1" applyBorder="1"/>
    <xf numFmtId="0" fontId="4" fillId="8" borderId="27" xfId="2" applyFill="1" applyBorder="1"/>
    <xf numFmtId="9" fontId="2" fillId="3" borderId="10" xfId="1" applyFont="1" applyFill="1" applyBorder="1" applyAlignment="1">
      <alignment horizontal="right"/>
    </xf>
    <xf numFmtId="9" fontId="4" fillId="3" borderId="32" xfId="2" applyNumberFormat="1" applyFill="1" applyBorder="1"/>
    <xf numFmtId="9" fontId="4" fillId="3" borderId="35" xfId="2" applyNumberFormat="1" applyFill="1" applyBorder="1"/>
    <xf numFmtId="9" fontId="2" fillId="8" borderId="10" xfId="1" applyFont="1" applyFill="1" applyBorder="1" applyAlignment="1">
      <alignment horizontal="right"/>
    </xf>
    <xf numFmtId="0" fontId="4" fillId="8" borderId="31" xfId="2" applyFill="1" applyBorder="1"/>
    <xf numFmtId="9" fontId="4" fillId="8" borderId="32" xfId="1" applyFont="1" applyFill="1" applyBorder="1"/>
    <xf numFmtId="0" fontId="4" fillId="8" borderId="33" xfId="2" applyFill="1" applyBorder="1"/>
    <xf numFmtId="0" fontId="4" fillId="8" borderId="34" xfId="2" applyFill="1" applyBorder="1"/>
    <xf numFmtId="9" fontId="4" fillId="8" borderId="35" xfId="1" applyFont="1" applyFill="1" applyBorder="1"/>
    <xf numFmtId="0" fontId="4" fillId="5" borderId="33" xfId="2" applyFill="1" applyBorder="1"/>
    <xf numFmtId="0" fontId="4" fillId="5" borderId="34" xfId="2" applyFill="1" applyBorder="1"/>
    <xf numFmtId="0" fontId="2" fillId="13" borderId="9" xfId="0" applyFont="1" applyFill="1" applyBorder="1"/>
    <xf numFmtId="0" fontId="2" fillId="13" borderId="11" xfId="0" applyFont="1" applyFill="1" applyBorder="1" applyAlignment="1">
      <alignment horizontal="right"/>
    </xf>
    <xf numFmtId="9" fontId="2" fillId="13" borderId="10" xfId="1" applyFont="1" applyFill="1" applyBorder="1" applyAlignment="1">
      <alignment horizontal="right"/>
    </xf>
    <xf numFmtId="0" fontId="2" fillId="0" borderId="12" xfId="0" applyFont="1" applyBorder="1"/>
    <xf numFmtId="0" fontId="2" fillId="18" borderId="12" xfId="0" applyFont="1" applyFill="1" applyBorder="1"/>
    <xf numFmtId="0" fontId="2" fillId="18" borderId="13" xfId="0" applyFont="1" applyFill="1" applyBorder="1"/>
    <xf numFmtId="9" fontId="4" fillId="3" borderId="30" xfId="2" applyNumberFormat="1" applyFill="1" applyBorder="1"/>
    <xf numFmtId="0" fontId="4" fillId="8" borderId="28" xfId="2" applyFill="1" applyBorder="1"/>
    <xf numFmtId="0" fontId="4" fillId="8" borderId="29" xfId="2" applyFill="1" applyBorder="1"/>
    <xf numFmtId="9" fontId="4" fillId="8" borderId="30" xfId="1" applyFont="1" applyFill="1" applyBorder="1"/>
    <xf numFmtId="0" fontId="14" fillId="18" borderId="0" xfId="0" applyFont="1" applyFill="1"/>
    <xf numFmtId="10" fontId="14" fillId="18" borderId="0" xfId="0" applyNumberFormat="1" applyFont="1" applyFill="1"/>
    <xf numFmtId="0" fontId="4" fillId="18" borderId="0" xfId="0" applyFont="1" applyFill="1"/>
    <xf numFmtId="0" fontId="4" fillId="16" borderId="0" xfId="0" applyFont="1" applyFill="1"/>
    <xf numFmtId="0" fontId="4" fillId="19" borderId="0" xfId="0" applyFont="1" applyFill="1"/>
    <xf numFmtId="0" fontId="4" fillId="20" borderId="0" xfId="0" applyFont="1" applyFill="1"/>
    <xf numFmtId="0" fontId="4" fillId="21" borderId="0" xfId="0" applyFont="1" applyFill="1"/>
    <xf numFmtId="10" fontId="6" fillId="18" borderId="2" xfId="2" applyNumberFormat="1" applyFont="1" applyFill="1" applyBorder="1"/>
    <xf numFmtId="0" fontId="10" fillId="11" borderId="0" xfId="2" applyFont="1" applyFill="1"/>
    <xf numFmtId="9" fontId="11" fillId="0" borderId="0" xfId="0" applyNumberFormat="1" applyFont="1"/>
    <xf numFmtId="0" fontId="10" fillId="21" borderId="0" xfId="2" applyFont="1" applyFill="1"/>
    <xf numFmtId="0" fontId="10" fillId="16" borderId="0" xfId="2" applyFont="1" applyFill="1"/>
    <xf numFmtId="9" fontId="15" fillId="0" borderId="2" xfId="0" applyNumberFormat="1" applyFont="1" applyBorder="1"/>
    <xf numFmtId="0" fontId="6" fillId="0" borderId="8" xfId="2" applyFont="1" applyBorder="1"/>
    <xf numFmtId="0" fontId="11" fillId="0" borderId="14" xfId="0" applyFont="1" applyBorder="1"/>
    <xf numFmtId="9" fontId="11" fillId="0" borderId="2" xfId="0" applyNumberFormat="1" applyFont="1" applyBorder="1"/>
    <xf numFmtId="9" fontId="11" fillId="6" borderId="2" xfId="0" applyNumberFormat="1" applyFont="1" applyFill="1" applyBorder="1"/>
    <xf numFmtId="0" fontId="0" fillId="18" borderId="8" xfId="0" applyFill="1" applyBorder="1"/>
    <xf numFmtId="0" fontId="0" fillId="18" borderId="0" xfId="0" applyFill="1"/>
    <xf numFmtId="9" fontId="0" fillId="18" borderId="0" xfId="0" applyNumberFormat="1" applyFill="1"/>
    <xf numFmtId="0" fontId="0" fillId="18" borderId="13" xfId="0" applyFill="1" applyBorder="1"/>
    <xf numFmtId="0" fontId="0" fillId="18" borderId="2" xfId="0" applyFill="1" applyBorder="1"/>
    <xf numFmtId="0" fontId="2" fillId="0" borderId="8" xfId="0" applyFont="1" applyBorder="1"/>
    <xf numFmtId="9" fontId="2" fillId="18" borderId="2" xfId="0" applyNumberFormat="1" applyFont="1" applyFill="1" applyBorder="1"/>
    <xf numFmtId="9" fontId="6" fillId="18" borderId="11" xfId="2" applyNumberFormat="1" applyFont="1" applyFill="1" applyBorder="1"/>
    <xf numFmtId="9" fontId="6" fillId="18" borderId="13" xfId="2" applyNumberFormat="1" applyFont="1" applyFill="1" applyBorder="1"/>
    <xf numFmtId="0" fontId="6" fillId="0" borderId="10" xfId="2" applyFont="1" applyBorder="1"/>
    <xf numFmtId="9" fontId="11" fillId="0" borderId="13" xfId="0" applyNumberFormat="1" applyFont="1" applyBorder="1"/>
    <xf numFmtId="9" fontId="15" fillId="0" borderId="11" xfId="0" applyNumberFormat="1" applyFont="1" applyBorder="1"/>
    <xf numFmtId="9" fontId="15" fillId="0" borderId="13" xfId="0" applyNumberFormat="1" applyFont="1" applyBorder="1"/>
    <xf numFmtId="0" fontId="2" fillId="6" borderId="11" xfId="0" applyFont="1" applyFill="1" applyBorder="1"/>
    <xf numFmtId="9" fontId="15" fillId="18" borderId="0" xfId="0" applyNumberFormat="1" applyFont="1" applyFill="1"/>
    <xf numFmtId="0" fontId="4" fillId="18" borderId="0" xfId="3" applyFill="1"/>
    <xf numFmtId="9" fontId="6" fillId="18" borderId="2" xfId="2" applyNumberFormat="1" applyFont="1" applyFill="1" applyBorder="1"/>
    <xf numFmtId="0" fontId="0" fillId="6" borderId="1" xfId="0" applyFill="1" applyBorder="1"/>
    <xf numFmtId="9" fontId="15" fillId="6" borderId="2" xfId="0" applyNumberFormat="1" applyFont="1" applyFill="1" applyBorder="1"/>
    <xf numFmtId="9" fontId="15" fillId="18" borderId="2" xfId="0" applyNumberFormat="1" applyFont="1" applyFill="1" applyBorder="1"/>
    <xf numFmtId="9" fontId="1" fillId="0" borderId="2" xfId="1" applyFont="1" applyFill="1" applyBorder="1"/>
    <xf numFmtId="9" fontId="1" fillId="2" borderId="2" xfId="1" applyFont="1" applyFill="1" applyBorder="1"/>
    <xf numFmtId="9" fontId="1" fillId="0" borderId="8" xfId="1" applyFont="1" applyFill="1" applyBorder="1"/>
    <xf numFmtId="9" fontId="15" fillId="6" borderId="11" xfId="0" applyNumberFormat="1" applyFont="1" applyFill="1" applyBorder="1"/>
    <xf numFmtId="0" fontId="6" fillId="6" borderId="10" xfId="2" applyFont="1" applyFill="1" applyBorder="1"/>
    <xf numFmtId="9" fontId="15" fillId="6" borderId="13" xfId="0" applyNumberFormat="1" applyFont="1" applyFill="1" applyBorder="1"/>
    <xf numFmtId="0" fontId="6" fillId="6" borderId="15" xfId="2" applyFont="1" applyFill="1" applyBorder="1"/>
    <xf numFmtId="0" fontId="0" fillId="18" borderId="11" xfId="0" applyFill="1" applyBorder="1"/>
    <xf numFmtId="9" fontId="11" fillId="6" borderId="11" xfId="0" applyNumberFormat="1" applyFont="1" applyFill="1" applyBorder="1"/>
    <xf numFmtId="0" fontId="0" fillId="6" borderId="0" xfId="0" applyFill="1"/>
    <xf numFmtId="9" fontId="11" fillId="6" borderId="0" xfId="0" applyNumberFormat="1" applyFont="1" applyFill="1"/>
    <xf numFmtId="0" fontId="0" fillId="6" borderId="5" xfId="0" applyFill="1" applyBorder="1"/>
    <xf numFmtId="9" fontId="11" fillId="6" borderId="13" xfId="0" applyNumberFormat="1" applyFont="1" applyFill="1" applyBorder="1"/>
    <xf numFmtId="0" fontId="0" fillId="6" borderId="15" xfId="0" applyFill="1" applyBorder="1"/>
    <xf numFmtId="0" fontId="16" fillId="0" borderId="0" xfId="0" applyFont="1" applyFill="1" applyBorder="1"/>
    <xf numFmtId="0" fontId="17" fillId="0" borderId="0" xfId="0" applyFont="1" applyFill="1" applyBorder="1"/>
    <xf numFmtId="0" fontId="6" fillId="6" borderId="39" xfId="2" applyFont="1" applyFill="1" applyBorder="1"/>
    <xf numFmtId="0" fontId="0" fillId="6" borderId="40" xfId="0" applyFill="1" applyBorder="1"/>
    <xf numFmtId="0" fontId="2" fillId="6" borderId="40" xfId="0" applyFont="1" applyFill="1" applyBorder="1"/>
    <xf numFmtId="0" fontId="0" fillId="6" borderId="41" xfId="0" applyFill="1" applyBorder="1"/>
  </cellXfs>
  <cellStyles count="5">
    <cellStyle name="Normal" xfId="0" builtinId="0"/>
    <cellStyle name="Normal 2" xfId="2" xr:uid="{00000000-0005-0000-0000-000001000000}"/>
    <cellStyle name="Normal 3" xfId="3" xr:uid="{00000000-0005-0000-0000-000002000000}"/>
    <cellStyle name="Normal 4" xfId="4" xr:uid="{00000000-0005-0000-0000-000003000000}"/>
    <cellStyle name="Prosent" xfId="1" builtinId="5"/>
  </cellStyles>
  <dxfs count="0"/>
  <tableStyles count="0" defaultTableStyle="TableStyleMedium2" defaultPivotStyle="PivotStyleLight16"/>
  <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32</xdr:col>
      <xdr:colOff>514350</xdr:colOff>
      <xdr:row>12</xdr:row>
      <xdr:rowOff>0</xdr:rowOff>
    </xdr:from>
    <xdr:ext cx="5410200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9696450" y="2628899"/>
          <a:ext cx="54102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nb-NO" sz="1100"/>
        </a:p>
      </xdr:txBody>
    </xdr:sp>
    <xdr:clientData/>
  </xdr:oneCellAnchor>
  <xdr:twoCellAnchor>
    <xdr:from>
      <xdr:col>33</xdr:col>
      <xdr:colOff>19050</xdr:colOff>
      <xdr:row>4</xdr:row>
      <xdr:rowOff>19051</xdr:rowOff>
    </xdr:from>
    <xdr:to>
      <xdr:col>41</xdr:col>
      <xdr:colOff>304800</xdr:colOff>
      <xdr:row>13</xdr:row>
      <xdr:rowOff>6350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14605000" y="774701"/>
          <a:ext cx="5162550" cy="2012949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b-NO" sz="1100" b="1"/>
            <a:t>Studieår:</a:t>
          </a:r>
          <a:r>
            <a:rPr lang="nb-NO" sz="1100" b="1" baseline="0"/>
            <a:t> </a:t>
          </a:r>
          <a:r>
            <a:rPr lang="nb-NO" sz="1100" b="0" baseline="0"/>
            <a:t>Det er stabile og økende tall for eksamensmøtte p</a:t>
          </a:r>
          <a:r>
            <a:rPr lang="nb-NO" sz="1100" b="0"/>
            <a:t>å studieårene</a:t>
          </a:r>
          <a:r>
            <a:rPr lang="nb-NO" sz="1100" b="0" baseline="0"/>
            <a:t>. </a:t>
          </a:r>
        </a:p>
        <a:p>
          <a:endParaRPr lang="nb-NO" sz="1100" b="1" baseline="0"/>
        </a:p>
        <a:p>
          <a:r>
            <a:rPr lang="nb-NO" sz="1100" b="1" baseline="0"/>
            <a:t>Gjentak: Særlig h</a:t>
          </a:r>
          <a:r>
            <a:rPr lang="nb-NO" sz="1100" b="0" baseline="0"/>
            <a:t>øye tall for gjentak på JUS3112 og JUS4213, også høye tall på JUS2211 og JUS3213. </a:t>
          </a:r>
        </a:p>
        <a:p>
          <a:endParaRPr lang="nb-NO" sz="1100" b="0" baseline="0"/>
        </a:p>
        <a:p>
          <a:r>
            <a:rPr lang="nb-NO" sz="1100" b="1" baseline="0"/>
            <a:t>Valgemner: </a:t>
          </a:r>
          <a:r>
            <a:rPr lang="nb-NO" sz="1100" b="0" baseline="0"/>
            <a:t>Det er en liten nedgang i antall eksamensmøtte på valgemner sammenlignet med høsten 2024, men forstatt høye tall sammnelignet med tidligere semestre.   </a:t>
          </a:r>
          <a:endParaRPr lang="nb-NO" sz="1100" b="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16"/>
  <sheetViews>
    <sheetView tabSelected="1" zoomScaleNormal="100" workbookViewId="0">
      <selection activeCell="AJ96" sqref="AJ96"/>
    </sheetView>
  </sheetViews>
  <sheetFormatPr baseColWidth="10" defaultColWidth="8.7109375" defaultRowHeight="15"/>
  <cols>
    <col min="2" max="2" width="18" customWidth="1"/>
    <col min="3" max="3" width="10.5703125" customWidth="1"/>
    <col min="4" max="4" width="8.85546875" customWidth="1"/>
    <col min="5" max="5" width="8" customWidth="1"/>
    <col min="6" max="6" width="9.140625" customWidth="1"/>
    <col min="7" max="7" width="8.85546875" customWidth="1"/>
    <col min="8" max="8" width="7.140625" customWidth="1"/>
    <col min="9" max="9" width="8.42578125" customWidth="1"/>
    <col min="10" max="10" width="9.7109375" customWidth="1"/>
    <col min="11" max="11" width="9.5703125" customWidth="1"/>
    <col min="12" max="12" width="7.28515625" customWidth="1"/>
    <col min="13" max="13" width="8.140625" customWidth="1"/>
    <col min="14" max="14" width="9.140625" customWidth="1"/>
    <col min="15" max="15" width="9.5703125" customWidth="1"/>
    <col min="16" max="16" width="8.140625" customWidth="1"/>
    <col min="17" max="17" width="7.5703125" customWidth="1"/>
    <col min="18" max="18" width="8.5703125" customWidth="1"/>
    <col min="22" max="22" width="8.7109375" customWidth="1"/>
    <col min="23" max="23" width="0.140625" customWidth="1"/>
    <col min="28" max="28" width="0.42578125" customWidth="1"/>
  </cols>
  <sheetData>
    <row r="1" spans="1:32">
      <c r="A1" s="1" t="s">
        <v>0</v>
      </c>
      <c r="W1" s="2"/>
    </row>
    <row r="2" spans="1:32" ht="15.75" thickBot="1"/>
    <row r="3" spans="1:32" ht="15.75" thickBot="1">
      <c r="A3" s="317" t="s">
        <v>1</v>
      </c>
      <c r="B3" s="318" t="s">
        <v>2</v>
      </c>
      <c r="C3" s="319" t="s">
        <v>3</v>
      </c>
      <c r="D3" s="320"/>
      <c r="E3" s="320"/>
      <c r="F3" s="321"/>
      <c r="G3" s="319" t="s">
        <v>4</v>
      </c>
      <c r="H3" s="320"/>
      <c r="I3" s="320"/>
      <c r="J3" s="321"/>
      <c r="K3" s="319" t="s">
        <v>5</v>
      </c>
      <c r="L3" s="320"/>
      <c r="M3" s="320"/>
      <c r="N3" s="321"/>
      <c r="O3" s="337"/>
      <c r="P3" s="262" t="s">
        <v>6</v>
      </c>
      <c r="Q3" s="262"/>
      <c r="R3" s="338"/>
      <c r="S3" s="351"/>
      <c r="T3" s="4" t="s">
        <v>7</v>
      </c>
      <c r="U3" s="5"/>
      <c r="V3" s="61"/>
      <c r="W3" s="6"/>
      <c r="X3" s="7"/>
      <c r="Y3" s="8" t="s">
        <v>8</v>
      </c>
      <c r="Z3" s="9"/>
      <c r="AA3" s="9"/>
      <c r="AB3" s="10"/>
      <c r="AC3" s="11"/>
      <c r="AD3" s="12" t="s">
        <v>9</v>
      </c>
      <c r="AE3" s="13"/>
      <c r="AF3" s="95"/>
    </row>
    <row r="4" spans="1:32" ht="15.75" thickBot="1">
      <c r="A4" s="14" t="s">
        <v>10</v>
      </c>
      <c r="B4" s="148"/>
      <c r="C4" s="322" t="s">
        <v>11</v>
      </c>
      <c r="D4" s="291" t="s">
        <v>12</v>
      </c>
      <c r="E4" s="291" t="s">
        <v>13</v>
      </c>
      <c r="F4" s="323" t="s">
        <v>14</v>
      </c>
      <c r="G4" s="322" t="s">
        <v>11</v>
      </c>
      <c r="H4" s="291" t="s">
        <v>12</v>
      </c>
      <c r="I4" s="291" t="s">
        <v>13</v>
      </c>
      <c r="J4" s="323" t="s">
        <v>14</v>
      </c>
      <c r="K4" s="322" t="s">
        <v>11</v>
      </c>
      <c r="L4" s="291" t="s">
        <v>12</v>
      </c>
      <c r="M4" s="291" t="s">
        <v>13</v>
      </c>
      <c r="N4" s="323" t="s">
        <v>14</v>
      </c>
      <c r="O4" s="339" t="s">
        <v>11</v>
      </c>
      <c r="P4" s="229" t="s">
        <v>12</v>
      </c>
      <c r="Q4" s="229" t="s">
        <v>13</v>
      </c>
      <c r="R4" s="340" t="s">
        <v>14</v>
      </c>
      <c r="S4" s="16" t="s">
        <v>15</v>
      </c>
      <c r="T4" s="17" t="s">
        <v>12</v>
      </c>
      <c r="U4" s="18" t="s">
        <v>13</v>
      </c>
      <c r="V4" s="52" t="s">
        <v>16</v>
      </c>
      <c r="W4" s="19"/>
      <c r="X4" s="20" t="s">
        <v>15</v>
      </c>
      <c r="Y4" s="21" t="s">
        <v>12</v>
      </c>
      <c r="Z4" s="22" t="s">
        <v>13</v>
      </c>
      <c r="AA4" s="22" t="s">
        <v>14</v>
      </c>
      <c r="AB4" s="10"/>
      <c r="AC4" s="23" t="s">
        <v>15</v>
      </c>
      <c r="AD4" s="24" t="s">
        <v>12</v>
      </c>
      <c r="AE4" s="25" t="s">
        <v>13</v>
      </c>
      <c r="AF4" s="112" t="s">
        <v>14</v>
      </c>
    </row>
    <row r="5" spans="1:32">
      <c r="A5" s="459" t="s">
        <v>17</v>
      </c>
      <c r="B5" s="460" t="s">
        <v>18</v>
      </c>
      <c r="C5" s="469">
        <v>213</v>
      </c>
      <c r="D5" s="469">
        <v>202</v>
      </c>
      <c r="E5" s="632">
        <f>D5/C5</f>
        <v>0.94835680751173712</v>
      </c>
      <c r="F5" s="469">
        <v>0</v>
      </c>
      <c r="G5" s="623">
        <v>192</v>
      </c>
      <c r="H5" s="623">
        <v>188</v>
      </c>
      <c r="I5" s="624">
        <v>0.97919999999999996</v>
      </c>
      <c r="J5" s="623">
        <v>0</v>
      </c>
      <c r="K5" s="324">
        <v>209</v>
      </c>
      <c r="L5" s="325">
        <v>204</v>
      </c>
      <c r="M5" s="326">
        <f>L5/K5</f>
        <v>0.97607655502392343</v>
      </c>
      <c r="N5" s="327">
        <v>0.5</v>
      </c>
      <c r="O5" s="341">
        <v>203</v>
      </c>
      <c r="P5" s="223">
        <v>198</v>
      </c>
      <c r="Q5" s="223">
        <v>97</v>
      </c>
      <c r="R5" s="342">
        <v>0</v>
      </c>
      <c r="S5" s="275">
        <v>222</v>
      </c>
      <c r="T5" s="164">
        <v>218</v>
      </c>
      <c r="U5" s="29">
        <f>218/222</f>
        <v>0.98198198198198194</v>
      </c>
      <c r="V5" s="352">
        <v>0</v>
      </c>
      <c r="W5" s="30"/>
      <c r="X5" s="120">
        <v>208</v>
      </c>
      <c r="Y5" s="106">
        <v>189</v>
      </c>
      <c r="Z5" s="117">
        <f>189/208</f>
        <v>0.90865384615384615</v>
      </c>
      <c r="AA5" s="108">
        <v>2.4</v>
      </c>
      <c r="AB5" s="2"/>
      <c r="AC5" s="45">
        <v>254</v>
      </c>
      <c r="AD5" s="45">
        <v>220</v>
      </c>
      <c r="AE5" s="35">
        <f>220/254</f>
        <v>0.86614173228346458</v>
      </c>
      <c r="AF5" s="113">
        <v>4.3</v>
      </c>
    </row>
    <row r="6" spans="1:32">
      <c r="A6" s="458" t="s">
        <v>19</v>
      </c>
      <c r="B6" s="461" t="s">
        <v>20</v>
      </c>
      <c r="C6" s="469">
        <v>207</v>
      </c>
      <c r="D6" s="469">
        <v>191</v>
      </c>
      <c r="E6" s="632">
        <f t="shared" ref="E6:E69" si="0">D6/C6</f>
        <v>0.92270531400966183</v>
      </c>
      <c r="F6" s="469">
        <v>8.6999999999999993</v>
      </c>
      <c r="G6" s="623">
        <v>214</v>
      </c>
      <c r="H6" s="623">
        <v>196</v>
      </c>
      <c r="I6" s="624">
        <v>0.91590000000000005</v>
      </c>
      <c r="J6" s="623">
        <v>2.8</v>
      </c>
      <c r="K6" s="324">
        <v>250</v>
      </c>
      <c r="L6" s="325">
        <v>225</v>
      </c>
      <c r="M6" s="326">
        <f t="shared" ref="M6:M68" si="1">L6/K6</f>
        <v>0.9</v>
      </c>
      <c r="N6" s="327">
        <v>8.4</v>
      </c>
      <c r="O6" s="341">
        <v>219</v>
      </c>
      <c r="P6" s="223">
        <v>196</v>
      </c>
      <c r="Q6" s="223">
        <v>89</v>
      </c>
      <c r="R6" s="342">
        <v>2.7</v>
      </c>
      <c r="S6" s="275">
        <v>219</v>
      </c>
      <c r="T6" s="164">
        <v>201</v>
      </c>
      <c r="U6" s="29">
        <f>201/219</f>
        <v>0.9178082191780822</v>
      </c>
      <c r="V6" s="352">
        <v>4.5999999999999996</v>
      </c>
      <c r="W6" s="30"/>
      <c r="X6" s="120">
        <v>228</v>
      </c>
      <c r="Y6" s="106">
        <v>216</v>
      </c>
      <c r="Z6" s="117">
        <f>216/228</f>
        <v>0.94736842105263153</v>
      </c>
      <c r="AA6" s="108">
        <v>8.8000000000000007</v>
      </c>
      <c r="AB6" s="2"/>
      <c r="AC6" s="45">
        <v>221</v>
      </c>
      <c r="AD6" s="45">
        <v>208</v>
      </c>
      <c r="AE6" s="35">
        <f>208/221</f>
        <v>0.94117647058823528</v>
      </c>
      <c r="AF6" s="113">
        <v>10.9</v>
      </c>
    </row>
    <row r="7" spans="1:32">
      <c r="A7" s="458"/>
      <c r="B7" s="461"/>
      <c r="C7" s="469"/>
      <c r="D7" s="469"/>
      <c r="E7" s="632"/>
      <c r="F7" s="469"/>
      <c r="G7" s="623"/>
      <c r="H7" s="623"/>
      <c r="I7" s="623"/>
      <c r="J7" s="623"/>
      <c r="K7" s="324"/>
      <c r="L7" s="325"/>
      <c r="M7" s="326"/>
      <c r="N7" s="327"/>
      <c r="O7" s="341"/>
      <c r="P7" s="223"/>
      <c r="Q7" s="223"/>
      <c r="R7" s="342"/>
      <c r="S7" s="273"/>
      <c r="T7" s="28"/>
      <c r="U7" s="29"/>
      <c r="V7" s="352"/>
      <c r="W7" s="30"/>
      <c r="X7" s="120"/>
      <c r="Y7" s="106"/>
      <c r="Z7" s="117"/>
      <c r="AA7" s="108"/>
      <c r="AB7" s="2"/>
      <c r="AC7" s="34"/>
      <c r="AD7" s="34"/>
      <c r="AE7" s="35"/>
      <c r="AF7" s="113"/>
    </row>
    <row r="8" spans="1:32">
      <c r="A8" s="458" t="s">
        <v>21</v>
      </c>
      <c r="B8" s="466" t="s">
        <v>22</v>
      </c>
      <c r="C8" s="468">
        <v>192</v>
      </c>
      <c r="D8" s="468">
        <v>178</v>
      </c>
      <c r="E8" s="632">
        <f t="shared" si="0"/>
        <v>0.92708333333333337</v>
      </c>
      <c r="F8" s="468">
        <v>9.4</v>
      </c>
      <c r="G8" s="625">
        <v>210</v>
      </c>
      <c r="H8" s="625">
        <v>199</v>
      </c>
      <c r="I8" s="624">
        <v>0.9476</v>
      </c>
      <c r="J8" s="626">
        <v>10.5</v>
      </c>
      <c r="K8" s="328">
        <v>211</v>
      </c>
      <c r="L8" s="329">
        <v>199</v>
      </c>
      <c r="M8" s="326">
        <f t="shared" si="1"/>
        <v>0.94312796208530802</v>
      </c>
      <c r="N8" s="330">
        <v>10.4</v>
      </c>
      <c r="O8" s="343">
        <v>211</v>
      </c>
      <c r="P8" s="226">
        <v>197</v>
      </c>
      <c r="Q8" s="226">
        <v>93</v>
      </c>
      <c r="R8" s="344">
        <v>11.4</v>
      </c>
      <c r="S8" s="275">
        <v>209</v>
      </c>
      <c r="T8" s="164">
        <v>200</v>
      </c>
      <c r="U8" s="29">
        <f>200/209</f>
        <v>0.9569377990430622</v>
      </c>
      <c r="V8" s="353">
        <v>12</v>
      </c>
      <c r="W8" s="30"/>
      <c r="X8" s="121">
        <v>217</v>
      </c>
      <c r="Y8" s="118">
        <v>209</v>
      </c>
      <c r="Z8" s="117">
        <f>209/217</f>
        <v>0.96313364055299544</v>
      </c>
      <c r="AA8" s="39">
        <v>15.2</v>
      </c>
      <c r="AB8" s="2"/>
      <c r="AC8" s="45">
        <v>190</v>
      </c>
      <c r="AD8" s="45">
        <v>186</v>
      </c>
      <c r="AE8" s="35">
        <f>186/190</f>
        <v>0.97894736842105268</v>
      </c>
      <c r="AF8" s="113">
        <v>8.4</v>
      </c>
    </row>
    <row r="9" spans="1:32">
      <c r="A9" s="458" t="s">
        <v>23</v>
      </c>
      <c r="B9" s="466" t="s">
        <v>24</v>
      </c>
      <c r="C9" s="468">
        <v>233</v>
      </c>
      <c r="D9" s="468">
        <v>219</v>
      </c>
      <c r="E9" s="632">
        <f t="shared" si="0"/>
        <v>0.93991416309012876</v>
      </c>
      <c r="F9" s="633">
        <v>20.6</v>
      </c>
      <c r="G9" s="625">
        <v>257</v>
      </c>
      <c r="H9" s="625">
        <v>247</v>
      </c>
      <c r="I9" s="624">
        <v>0.96109999999999995</v>
      </c>
      <c r="J9" s="627">
        <v>17.2</v>
      </c>
      <c r="K9" s="328">
        <v>246</v>
      </c>
      <c r="L9" s="329">
        <v>231</v>
      </c>
      <c r="M9" s="326">
        <f t="shared" si="1"/>
        <v>0.93902439024390238</v>
      </c>
      <c r="N9" s="331">
        <v>18.7</v>
      </c>
      <c r="O9" s="343">
        <v>217</v>
      </c>
      <c r="P9" s="226">
        <v>207</v>
      </c>
      <c r="Q9" s="226">
        <v>95</v>
      </c>
      <c r="R9" s="344">
        <v>14.3</v>
      </c>
      <c r="S9" s="275">
        <v>218</v>
      </c>
      <c r="T9" s="164">
        <v>208</v>
      </c>
      <c r="U9" s="41">
        <f>208/218</f>
        <v>0.95412844036697253</v>
      </c>
      <c r="V9" s="354">
        <v>15.1</v>
      </c>
      <c r="W9" s="42"/>
      <c r="X9" s="121">
        <v>273</v>
      </c>
      <c r="Y9" s="118">
        <v>248</v>
      </c>
      <c r="Z9" s="119">
        <f>248/273</f>
        <v>0.90842490842490842</v>
      </c>
      <c r="AA9" s="125">
        <v>17.5</v>
      </c>
      <c r="AB9" s="2"/>
      <c r="AC9" s="45">
        <v>208</v>
      </c>
      <c r="AD9" s="45">
        <v>187</v>
      </c>
      <c r="AE9" s="35">
        <f>187/208</f>
        <v>0.89903846153846156</v>
      </c>
      <c r="AF9" s="113">
        <v>9.1</v>
      </c>
    </row>
    <row r="10" spans="1:32">
      <c r="A10" s="457" t="s">
        <v>25</v>
      </c>
      <c r="B10" s="466" t="s">
        <v>26</v>
      </c>
      <c r="C10" s="468">
        <v>165</v>
      </c>
      <c r="D10" s="468">
        <v>151</v>
      </c>
      <c r="E10" s="632">
        <f t="shared" si="0"/>
        <v>0.91515151515151516</v>
      </c>
      <c r="F10" s="468">
        <v>4.8</v>
      </c>
      <c r="G10" s="625">
        <v>166</v>
      </c>
      <c r="H10" s="625">
        <v>156</v>
      </c>
      <c r="I10" s="624">
        <v>0.93979999999999997</v>
      </c>
      <c r="J10" s="625">
        <v>7.2</v>
      </c>
      <c r="K10" s="328">
        <v>182</v>
      </c>
      <c r="L10" s="329">
        <v>170</v>
      </c>
      <c r="M10" s="326">
        <f t="shared" si="1"/>
        <v>0.93406593406593408</v>
      </c>
      <c r="N10" s="332">
        <v>8</v>
      </c>
      <c r="O10" s="343">
        <v>176</v>
      </c>
      <c r="P10" s="226">
        <v>165</v>
      </c>
      <c r="Q10" s="226">
        <v>93</v>
      </c>
      <c r="R10" s="345">
        <v>2.4</v>
      </c>
      <c r="S10" s="275">
        <v>192</v>
      </c>
      <c r="T10" s="164">
        <v>184</v>
      </c>
      <c r="U10" s="41">
        <f>184/192</f>
        <v>0.95833333333333337</v>
      </c>
      <c r="V10" s="355">
        <v>4.2</v>
      </c>
      <c r="W10" s="42"/>
      <c r="X10" s="121">
        <v>197</v>
      </c>
      <c r="Y10" s="118">
        <v>172</v>
      </c>
      <c r="Z10" s="119">
        <f>172/197</f>
        <v>0.87309644670050757</v>
      </c>
      <c r="AA10" s="126">
        <v>4.4000000000000004</v>
      </c>
      <c r="AB10" s="2"/>
      <c r="AC10" s="45">
        <v>214</v>
      </c>
      <c r="AD10" s="45">
        <v>169</v>
      </c>
      <c r="AE10" s="35">
        <f>169/214</f>
        <v>0.78971962616822433</v>
      </c>
      <c r="AF10" s="113">
        <v>4.9000000000000004</v>
      </c>
    </row>
    <row r="11" spans="1:32">
      <c r="A11" s="44"/>
      <c r="B11" s="149"/>
      <c r="C11" s="36"/>
      <c r="D11" s="36"/>
      <c r="E11" s="632"/>
      <c r="F11" s="36"/>
      <c r="G11" s="625"/>
      <c r="H11" s="625"/>
      <c r="I11" s="623"/>
      <c r="J11" s="625"/>
      <c r="K11" s="328"/>
      <c r="L11" s="329"/>
      <c r="M11" s="326"/>
      <c r="N11" s="330"/>
      <c r="O11" s="343"/>
      <c r="P11" s="226"/>
      <c r="Q11" s="226"/>
      <c r="R11" s="345"/>
      <c r="S11" s="273"/>
      <c r="T11" s="28"/>
      <c r="U11" s="41"/>
      <c r="V11" s="355"/>
      <c r="W11" s="42"/>
      <c r="X11" s="121"/>
      <c r="Y11" s="118"/>
      <c r="Z11" s="119"/>
      <c r="AA11" s="126"/>
      <c r="AB11" s="2"/>
      <c r="AC11" s="40"/>
      <c r="AD11" s="40"/>
      <c r="AE11" s="35"/>
      <c r="AF11" s="113"/>
    </row>
    <row r="12" spans="1:32">
      <c r="A12" s="458" t="s">
        <v>27</v>
      </c>
      <c r="B12" s="466" t="s">
        <v>28</v>
      </c>
      <c r="C12" s="468">
        <v>245</v>
      </c>
      <c r="D12" s="468">
        <v>225</v>
      </c>
      <c r="E12" s="632">
        <f t="shared" si="0"/>
        <v>0.91836734693877553</v>
      </c>
      <c r="F12" s="633">
        <v>26.9</v>
      </c>
      <c r="G12" s="625">
        <v>213</v>
      </c>
      <c r="H12" s="625">
        <v>200</v>
      </c>
      <c r="I12" s="624">
        <v>0.93899999999999995</v>
      </c>
      <c r="J12" s="627">
        <v>20.2</v>
      </c>
      <c r="K12" s="328">
        <v>238</v>
      </c>
      <c r="L12" s="329">
        <v>216</v>
      </c>
      <c r="M12" s="326">
        <f t="shared" si="1"/>
        <v>0.90756302521008403</v>
      </c>
      <c r="N12" s="330">
        <v>11.3</v>
      </c>
      <c r="O12" s="343">
        <v>215</v>
      </c>
      <c r="P12" s="226">
        <v>196</v>
      </c>
      <c r="Q12" s="226">
        <v>91</v>
      </c>
      <c r="R12" s="344">
        <v>14.4</v>
      </c>
      <c r="S12" s="273">
        <v>173</v>
      </c>
      <c r="T12" s="28">
        <v>169</v>
      </c>
      <c r="U12" s="58">
        <f>169/173</f>
        <v>0.97687861271676302</v>
      </c>
      <c r="V12" s="356">
        <v>12.7</v>
      </c>
      <c r="W12" s="42"/>
      <c r="X12" s="121"/>
      <c r="Y12" s="118"/>
      <c r="Z12" s="119"/>
      <c r="AA12" s="106"/>
      <c r="AB12" s="2"/>
      <c r="AC12" s="40"/>
      <c r="AD12" s="40"/>
      <c r="AE12" s="35"/>
      <c r="AF12" s="113"/>
    </row>
    <row r="13" spans="1:32">
      <c r="A13" s="458" t="s">
        <v>29</v>
      </c>
      <c r="B13" s="466" t="s">
        <v>30</v>
      </c>
      <c r="C13" s="468">
        <v>266</v>
      </c>
      <c r="D13" s="468">
        <v>246</v>
      </c>
      <c r="E13" s="632">
        <f t="shared" si="0"/>
        <v>0.92481203007518797</v>
      </c>
      <c r="F13" s="634">
        <v>15.4</v>
      </c>
      <c r="G13" s="625">
        <v>249</v>
      </c>
      <c r="H13" s="625">
        <v>224</v>
      </c>
      <c r="I13" s="624">
        <v>0.89959999999999996</v>
      </c>
      <c r="J13" s="628">
        <v>14.1</v>
      </c>
      <c r="K13" s="328">
        <v>213</v>
      </c>
      <c r="L13" s="329">
        <v>201</v>
      </c>
      <c r="M13" s="326">
        <f t="shared" si="1"/>
        <v>0.94366197183098588</v>
      </c>
      <c r="N13" s="332">
        <v>14.1</v>
      </c>
      <c r="O13" s="343">
        <v>188</v>
      </c>
      <c r="P13" s="226">
        <v>180</v>
      </c>
      <c r="Q13" s="226">
        <v>95</v>
      </c>
      <c r="R13" s="345">
        <v>6.9</v>
      </c>
      <c r="S13" s="275">
        <v>177</v>
      </c>
      <c r="T13" s="164">
        <v>169</v>
      </c>
      <c r="U13" s="41">
        <f>169/177</f>
        <v>0.95480225988700562</v>
      </c>
      <c r="V13" s="357"/>
      <c r="W13" s="42"/>
      <c r="X13" s="121"/>
      <c r="Y13" s="118"/>
      <c r="Z13" s="119"/>
      <c r="AA13" s="108"/>
      <c r="AB13" s="2"/>
      <c r="AC13" s="45"/>
      <c r="AD13" s="45"/>
      <c r="AE13" s="35"/>
      <c r="AF13" s="113"/>
    </row>
    <row r="14" spans="1:32">
      <c r="A14" s="458" t="s">
        <v>31</v>
      </c>
      <c r="B14" s="466" t="s">
        <v>32</v>
      </c>
      <c r="C14" s="468">
        <v>200</v>
      </c>
      <c r="D14" s="468">
        <v>184</v>
      </c>
      <c r="E14" s="632">
        <f t="shared" si="0"/>
        <v>0.92</v>
      </c>
      <c r="F14" s="468">
        <v>6.5</v>
      </c>
      <c r="G14" s="625">
        <v>201</v>
      </c>
      <c r="H14" s="625">
        <v>186</v>
      </c>
      <c r="I14" s="624">
        <v>0.9254</v>
      </c>
      <c r="J14" s="625">
        <v>7.5</v>
      </c>
      <c r="K14" s="328">
        <v>206</v>
      </c>
      <c r="L14" s="329">
        <v>201</v>
      </c>
      <c r="M14" s="326">
        <f t="shared" si="1"/>
        <v>0.97572815533980584</v>
      </c>
      <c r="N14" s="332">
        <v>8.3000000000000007</v>
      </c>
      <c r="O14" s="343">
        <v>200</v>
      </c>
      <c r="P14" s="226">
        <v>184</v>
      </c>
      <c r="Q14" s="226">
        <v>92</v>
      </c>
      <c r="R14" s="345">
        <v>6.5</v>
      </c>
      <c r="S14" s="275">
        <v>191</v>
      </c>
      <c r="T14" s="164">
        <v>171</v>
      </c>
      <c r="U14" s="41">
        <f>171/191</f>
        <v>0.89528795811518325</v>
      </c>
      <c r="V14" s="357">
        <v>6.8</v>
      </c>
      <c r="W14" s="42"/>
      <c r="X14" s="121">
        <v>234</v>
      </c>
      <c r="Y14" s="118">
        <v>207</v>
      </c>
      <c r="Z14" s="119">
        <f>207/234</f>
        <v>0.88461538461538458</v>
      </c>
      <c r="AA14" s="39">
        <v>14.2</v>
      </c>
      <c r="AB14" s="2"/>
      <c r="AC14" s="45">
        <v>207</v>
      </c>
      <c r="AD14" s="45">
        <v>201</v>
      </c>
      <c r="AE14" s="35">
        <f>201/207</f>
        <v>0.97101449275362317</v>
      </c>
      <c r="AF14" s="128">
        <v>7.7</v>
      </c>
    </row>
    <row r="15" spans="1:32">
      <c r="A15" s="458"/>
      <c r="B15" s="149"/>
      <c r="C15" s="36"/>
      <c r="D15" s="36"/>
      <c r="E15" s="632"/>
      <c r="F15" s="36"/>
      <c r="G15" s="625"/>
      <c r="H15" s="625"/>
      <c r="I15" s="623"/>
      <c r="J15" s="625"/>
      <c r="K15" s="328"/>
      <c r="L15" s="329"/>
      <c r="M15" s="326"/>
      <c r="N15" s="330"/>
      <c r="O15" s="343"/>
      <c r="P15" s="226"/>
      <c r="Q15" s="226"/>
      <c r="R15" s="345"/>
      <c r="S15" s="150"/>
      <c r="T15" s="37"/>
      <c r="U15" s="41"/>
      <c r="V15" s="357"/>
      <c r="W15" s="42"/>
      <c r="X15" s="121"/>
      <c r="Y15" s="118"/>
      <c r="Z15" s="119"/>
      <c r="AA15" s="108"/>
      <c r="AB15" s="2"/>
      <c r="AC15" s="40"/>
      <c r="AD15" s="40"/>
      <c r="AE15" s="35"/>
      <c r="AF15" s="113"/>
    </row>
    <row r="16" spans="1:32">
      <c r="A16" s="458" t="s">
        <v>33</v>
      </c>
      <c r="B16" s="466" t="s">
        <v>34</v>
      </c>
      <c r="C16" s="468">
        <v>259</v>
      </c>
      <c r="D16" s="468">
        <v>234</v>
      </c>
      <c r="E16" s="632">
        <f t="shared" si="0"/>
        <v>0.90347490347490345</v>
      </c>
      <c r="F16" s="468">
        <v>5.8</v>
      </c>
      <c r="G16" s="625">
        <v>240</v>
      </c>
      <c r="H16" s="625">
        <v>218</v>
      </c>
      <c r="I16" s="624">
        <v>0.9083</v>
      </c>
      <c r="J16" s="625">
        <v>10</v>
      </c>
      <c r="K16" s="328">
        <v>242</v>
      </c>
      <c r="L16" s="329">
        <v>231</v>
      </c>
      <c r="M16" s="326">
        <f t="shared" si="1"/>
        <v>0.95454545454545459</v>
      </c>
      <c r="N16" s="332">
        <v>13.3</v>
      </c>
      <c r="O16" s="343">
        <v>214</v>
      </c>
      <c r="P16" s="226">
        <v>198</v>
      </c>
      <c r="Q16" s="226">
        <v>92</v>
      </c>
      <c r="R16" s="345">
        <v>7</v>
      </c>
      <c r="S16" s="275">
        <v>283</v>
      </c>
      <c r="T16" s="164">
        <v>259</v>
      </c>
      <c r="U16" s="41">
        <f>259/283</f>
        <v>0.9151943462897526</v>
      </c>
      <c r="V16" s="358">
        <v>13.1</v>
      </c>
      <c r="W16" s="42"/>
      <c r="X16" s="121">
        <v>286</v>
      </c>
      <c r="Y16" s="118">
        <v>263</v>
      </c>
      <c r="Z16" s="119">
        <f>263/286</f>
        <v>0.91958041958041958</v>
      </c>
      <c r="AA16" s="108">
        <v>9.1999999999999993</v>
      </c>
      <c r="AB16" s="2"/>
      <c r="AC16" s="45">
        <v>255</v>
      </c>
      <c r="AD16" s="45">
        <v>222</v>
      </c>
      <c r="AE16" s="35">
        <f>222/255</f>
        <v>0.87058823529411766</v>
      </c>
      <c r="AF16" s="113">
        <v>7.5</v>
      </c>
    </row>
    <row r="17" spans="1:32">
      <c r="A17" s="474" t="s">
        <v>35</v>
      </c>
      <c r="B17" s="475" t="s">
        <v>36</v>
      </c>
      <c r="C17" s="468"/>
      <c r="D17" s="468"/>
      <c r="E17" s="632"/>
      <c r="F17" s="468"/>
      <c r="G17" s="625">
        <v>40</v>
      </c>
      <c r="H17" s="625">
        <v>25</v>
      </c>
      <c r="I17" s="624">
        <v>0.625</v>
      </c>
      <c r="J17" s="629">
        <v>57.5</v>
      </c>
      <c r="K17" s="328">
        <v>204</v>
      </c>
      <c r="L17" s="329">
        <v>184</v>
      </c>
      <c r="M17" s="326">
        <f t="shared" si="1"/>
        <v>0.90196078431372551</v>
      </c>
      <c r="N17" s="331">
        <v>27.5</v>
      </c>
      <c r="O17" s="343">
        <v>185</v>
      </c>
      <c r="P17" s="226">
        <v>163</v>
      </c>
      <c r="Q17" s="226">
        <v>88</v>
      </c>
      <c r="R17" s="346">
        <v>24.9</v>
      </c>
      <c r="S17" s="275">
        <v>256</v>
      </c>
      <c r="T17" s="164">
        <v>233</v>
      </c>
      <c r="U17" s="41">
        <f>233/256</f>
        <v>0.91015625</v>
      </c>
      <c r="V17" s="354">
        <v>19.100000000000001</v>
      </c>
      <c r="W17" s="42"/>
      <c r="X17" s="121">
        <v>268</v>
      </c>
      <c r="Y17" s="118">
        <v>251</v>
      </c>
      <c r="Z17" s="119">
        <f>251/268</f>
        <v>0.93656716417910446</v>
      </c>
      <c r="AA17" s="125">
        <v>19.5</v>
      </c>
      <c r="AB17" s="2"/>
      <c r="AC17" s="45">
        <v>254</v>
      </c>
      <c r="AD17" s="45">
        <v>224</v>
      </c>
      <c r="AE17" s="35">
        <f>224/254</f>
        <v>0.88188976377952755</v>
      </c>
      <c r="AF17" s="128">
        <v>12.3</v>
      </c>
    </row>
    <row r="18" spans="1:32">
      <c r="A18" s="458" t="s">
        <v>37</v>
      </c>
      <c r="B18" s="466" t="s">
        <v>38</v>
      </c>
      <c r="C18" s="468">
        <v>249</v>
      </c>
      <c r="D18" s="468">
        <v>225</v>
      </c>
      <c r="E18" s="632">
        <f t="shared" si="0"/>
        <v>0.90361445783132532</v>
      </c>
      <c r="F18" s="634">
        <v>10.8</v>
      </c>
      <c r="G18" s="625">
        <v>217</v>
      </c>
      <c r="H18" s="625">
        <v>202</v>
      </c>
      <c r="I18" s="624">
        <v>0.93089999999999995</v>
      </c>
      <c r="J18" s="628">
        <v>14.7</v>
      </c>
      <c r="K18" s="328"/>
      <c r="L18" s="329"/>
      <c r="M18" s="326"/>
      <c r="N18" s="331"/>
      <c r="O18" s="343"/>
      <c r="P18" s="226"/>
      <c r="Q18" s="226"/>
      <c r="R18" s="346"/>
      <c r="S18" s="275"/>
      <c r="T18" s="164"/>
      <c r="U18" s="41"/>
      <c r="V18" s="354"/>
      <c r="W18" s="42"/>
      <c r="X18" s="121"/>
      <c r="Y18" s="118"/>
      <c r="Z18" s="119"/>
      <c r="AA18" s="125"/>
      <c r="AB18" s="2"/>
      <c r="AC18" s="45"/>
      <c r="AD18" s="45"/>
      <c r="AE18" s="35"/>
      <c r="AF18" s="128"/>
    </row>
    <row r="19" spans="1:32">
      <c r="A19" s="458" t="s">
        <v>39</v>
      </c>
      <c r="B19" s="466" t="s">
        <v>40</v>
      </c>
      <c r="C19" s="468">
        <v>239</v>
      </c>
      <c r="D19" s="631">
        <f>213+8</f>
        <v>221</v>
      </c>
      <c r="E19" s="632">
        <f t="shared" si="0"/>
        <v>0.92468619246861927</v>
      </c>
      <c r="F19" s="633">
        <v>24.7</v>
      </c>
      <c r="G19" s="625">
        <v>178</v>
      </c>
      <c r="H19" s="625">
        <v>162</v>
      </c>
      <c r="I19" s="624">
        <v>0.91010000000000002</v>
      </c>
      <c r="J19" s="625">
        <v>8.4</v>
      </c>
      <c r="K19" s="328"/>
      <c r="L19" s="329"/>
      <c r="M19" s="326"/>
      <c r="N19" s="331"/>
      <c r="O19" s="343"/>
      <c r="P19" s="226"/>
      <c r="Q19" s="226"/>
      <c r="R19" s="346"/>
      <c r="S19" s="275"/>
      <c r="T19" s="164"/>
      <c r="U19" s="41"/>
      <c r="V19" s="354"/>
      <c r="W19" s="42"/>
      <c r="X19" s="121"/>
      <c r="Y19" s="118"/>
      <c r="Z19" s="119"/>
      <c r="AA19" s="125"/>
      <c r="AB19" s="2"/>
      <c r="AC19" s="45"/>
      <c r="AD19" s="45"/>
      <c r="AE19" s="35"/>
      <c r="AF19" s="128"/>
    </row>
    <row r="20" spans="1:32">
      <c r="A20" s="458" t="s">
        <v>41</v>
      </c>
      <c r="B20" s="466" t="s">
        <v>42</v>
      </c>
      <c r="C20" s="468">
        <v>121</v>
      </c>
      <c r="D20" s="468">
        <v>99</v>
      </c>
      <c r="E20" s="632">
        <f t="shared" si="0"/>
        <v>0.81818181818181823</v>
      </c>
      <c r="F20" s="468">
        <v>5</v>
      </c>
      <c r="G20" s="625">
        <v>95</v>
      </c>
      <c r="H20" s="625">
        <v>86</v>
      </c>
      <c r="I20" s="624">
        <v>0.90529999999999999</v>
      </c>
      <c r="J20" s="625">
        <v>3.2</v>
      </c>
      <c r="K20" s="328">
        <v>90</v>
      </c>
      <c r="L20" s="329">
        <v>81</v>
      </c>
      <c r="M20" s="326">
        <f t="shared" si="1"/>
        <v>0.9</v>
      </c>
      <c r="N20" s="330">
        <v>0</v>
      </c>
      <c r="O20" s="343">
        <v>90</v>
      </c>
      <c r="P20" s="226">
        <v>78</v>
      </c>
      <c r="Q20" s="226">
        <v>86</v>
      </c>
      <c r="R20" s="345">
        <v>2.2000000000000002</v>
      </c>
      <c r="S20" s="275">
        <v>106</v>
      </c>
      <c r="T20" s="164">
        <v>100</v>
      </c>
      <c r="U20" s="29">
        <f>100/106</f>
        <v>0.94339622641509435</v>
      </c>
      <c r="V20" s="352">
        <v>3.8</v>
      </c>
      <c r="W20" s="30"/>
      <c r="X20" s="120">
        <v>130</v>
      </c>
      <c r="Y20" s="106">
        <v>122</v>
      </c>
      <c r="Z20" s="117">
        <f>122/130</f>
        <v>0.93846153846153846</v>
      </c>
      <c r="AA20" s="108">
        <v>4.7</v>
      </c>
      <c r="AB20" s="2"/>
      <c r="AC20" s="45">
        <v>94</v>
      </c>
      <c r="AD20" s="45">
        <v>78</v>
      </c>
      <c r="AE20" s="35">
        <f>78/94</f>
        <v>0.82978723404255317</v>
      </c>
      <c r="AF20" s="113">
        <v>1.1000000000000001</v>
      </c>
    </row>
    <row r="21" spans="1:32">
      <c r="A21" s="458" t="s">
        <v>43</v>
      </c>
      <c r="B21" s="466" t="s">
        <v>44</v>
      </c>
      <c r="C21" s="468">
        <v>100</v>
      </c>
      <c r="D21" s="468">
        <v>84</v>
      </c>
      <c r="E21" s="632">
        <f t="shared" si="0"/>
        <v>0.84</v>
      </c>
      <c r="F21" s="468">
        <v>2.2000000000000002</v>
      </c>
      <c r="G21" s="625">
        <v>125</v>
      </c>
      <c r="H21" s="625">
        <v>111</v>
      </c>
      <c r="I21" s="624">
        <v>0.88800000000000001</v>
      </c>
      <c r="J21" s="625">
        <v>1.7</v>
      </c>
      <c r="K21" s="328">
        <v>118</v>
      </c>
      <c r="L21" s="329">
        <v>105</v>
      </c>
      <c r="M21" s="326">
        <f t="shared" si="1"/>
        <v>0.88983050847457623</v>
      </c>
      <c r="N21" s="330">
        <v>2.8</v>
      </c>
      <c r="O21" s="343">
        <v>70</v>
      </c>
      <c r="P21" s="226">
        <v>70</v>
      </c>
      <c r="Q21" s="226">
        <v>100</v>
      </c>
      <c r="R21" s="345">
        <v>3.3</v>
      </c>
      <c r="S21" s="275">
        <v>71</v>
      </c>
      <c r="T21" s="164">
        <v>68</v>
      </c>
      <c r="U21" s="41">
        <f>68/71</f>
        <v>0.95774647887323938</v>
      </c>
      <c r="V21" s="357">
        <v>0</v>
      </c>
      <c r="W21" s="42"/>
      <c r="X21" s="121">
        <v>103</v>
      </c>
      <c r="Y21" s="118">
        <v>98</v>
      </c>
      <c r="Z21" s="119">
        <f>98/103</f>
        <v>0.95145631067961167</v>
      </c>
      <c r="AA21" s="108">
        <v>3.1</v>
      </c>
      <c r="AB21" s="2"/>
      <c r="AC21" s="45">
        <v>124</v>
      </c>
      <c r="AD21" s="45">
        <v>101</v>
      </c>
      <c r="AE21" s="35">
        <f>101/124</f>
        <v>0.81451612903225812</v>
      </c>
      <c r="AF21" s="113">
        <v>3.3</v>
      </c>
    </row>
    <row r="22" spans="1:32" ht="15.75" thickBot="1">
      <c r="A22" s="462" t="s">
        <v>45</v>
      </c>
      <c r="B22" s="467" t="s">
        <v>46</v>
      </c>
      <c r="C22" s="468">
        <v>51</v>
      </c>
      <c r="D22" s="468">
        <v>45</v>
      </c>
      <c r="E22" s="632">
        <f t="shared" si="0"/>
        <v>0.88235294117647056</v>
      </c>
      <c r="F22" s="468">
        <v>2</v>
      </c>
      <c r="G22" s="625">
        <v>27</v>
      </c>
      <c r="H22" s="625">
        <v>18</v>
      </c>
      <c r="I22" s="624">
        <v>0.66669999999999996</v>
      </c>
      <c r="J22" s="625">
        <v>3.7</v>
      </c>
      <c r="K22" s="328">
        <v>48</v>
      </c>
      <c r="L22" s="329">
        <v>35</v>
      </c>
      <c r="M22" s="326">
        <f t="shared" si="1"/>
        <v>0.72916666666666663</v>
      </c>
      <c r="N22" s="330">
        <v>0</v>
      </c>
      <c r="O22" s="343">
        <v>73</v>
      </c>
      <c r="P22" s="226">
        <v>59</v>
      </c>
      <c r="Q22" s="226">
        <v>80</v>
      </c>
      <c r="R22" s="345">
        <v>0</v>
      </c>
      <c r="S22" s="275">
        <v>61</v>
      </c>
      <c r="T22" s="164">
        <v>51</v>
      </c>
      <c r="U22" s="29">
        <f>51/61</f>
        <v>0.83606557377049184</v>
      </c>
      <c r="V22" s="352">
        <v>1.6</v>
      </c>
      <c r="W22" s="30"/>
      <c r="X22" s="122">
        <v>73</v>
      </c>
      <c r="Y22" s="123">
        <v>53</v>
      </c>
      <c r="Z22" s="124">
        <f>53/73</f>
        <v>0.72602739726027399</v>
      </c>
      <c r="AA22" s="127"/>
      <c r="AB22" s="2"/>
      <c r="AC22" s="129">
        <v>68</v>
      </c>
      <c r="AD22" s="129">
        <v>57</v>
      </c>
      <c r="AE22" s="130">
        <f>57/68</f>
        <v>0.83823529411764708</v>
      </c>
      <c r="AF22" s="131">
        <v>0</v>
      </c>
    </row>
    <row r="23" spans="1:32" ht="15.75" thickBot="1">
      <c r="A23" s="157"/>
      <c r="B23" s="316" t="s">
        <v>47</v>
      </c>
      <c r="C23" s="473">
        <f>SUM(C5:C22)</f>
        <v>2740</v>
      </c>
      <c r="D23" s="151">
        <f>SUM(D5:D22)</f>
        <v>2504</v>
      </c>
      <c r="E23" s="635">
        <f t="shared" si="0"/>
        <v>0.91386861313868617</v>
      </c>
      <c r="F23" s="636"/>
      <c r="G23" s="480">
        <f>SUM(G5:G22)</f>
        <v>2624</v>
      </c>
      <c r="H23" s="481">
        <f>SUM(H5:H22)</f>
        <v>2418</v>
      </c>
      <c r="I23" s="630">
        <v>0.92149999999999999</v>
      </c>
      <c r="J23" s="482"/>
      <c r="K23" s="333">
        <f>SUM(K5:K22)</f>
        <v>2457</v>
      </c>
      <c r="L23" s="334">
        <f>SUM(L5:L22)</f>
        <v>2283</v>
      </c>
      <c r="M23" s="335">
        <f>L23/K23</f>
        <v>0.92918192918192921</v>
      </c>
      <c r="N23" s="336"/>
      <c r="O23" s="347">
        <f>SUM(O5:O22)</f>
        <v>2261</v>
      </c>
      <c r="P23" s="348">
        <f>SUM(P5:P22)</f>
        <v>2091</v>
      </c>
      <c r="Q23" s="349">
        <v>0.92</v>
      </c>
      <c r="R23" s="350"/>
      <c r="S23" s="16">
        <f>SUM(S5:S22)</f>
        <v>2378</v>
      </c>
      <c r="T23" s="4">
        <f>SUM(T5:T22)</f>
        <v>2231</v>
      </c>
      <c r="U23" s="5">
        <f>2041/2214</f>
        <v>0.92186088527551946</v>
      </c>
      <c r="V23" s="61"/>
      <c r="W23" s="46"/>
      <c r="X23" s="135">
        <v>2775</v>
      </c>
      <c r="Y23" s="136">
        <v>2561</v>
      </c>
      <c r="Z23" s="137">
        <f>2651/2775</f>
        <v>0.95531531531531533</v>
      </c>
      <c r="AA23" s="137"/>
      <c r="AB23" s="47"/>
      <c r="AC23" s="81">
        <v>2559</v>
      </c>
      <c r="AD23" s="81">
        <v>2290</v>
      </c>
      <c r="AE23" s="82">
        <f>2290/2559</f>
        <v>0.89488081281750687</v>
      </c>
      <c r="AF23" s="82"/>
    </row>
    <row r="24" spans="1:32">
      <c r="B24" s="48"/>
      <c r="C24" s="48"/>
      <c r="D24" s="48"/>
      <c r="E24" s="632"/>
      <c r="F24" s="48"/>
      <c r="G24" s="48"/>
      <c r="H24" s="48"/>
      <c r="I24" s="48"/>
      <c r="J24" s="48"/>
      <c r="K24" s="48"/>
      <c r="L24" s="48"/>
      <c r="M24" s="290"/>
      <c r="N24" s="48"/>
      <c r="O24" s="48"/>
      <c r="P24" s="48"/>
      <c r="Q24" s="48"/>
      <c r="R24" s="48"/>
      <c r="S24" s="3"/>
      <c r="T24" s="3"/>
      <c r="U24" s="62"/>
      <c r="V24" s="62"/>
      <c r="W24" s="62"/>
      <c r="X24" s="3"/>
      <c r="Y24" s="3"/>
      <c r="Z24" s="62"/>
      <c r="AC24" s="3"/>
      <c r="AD24" s="3"/>
      <c r="AE24" s="62"/>
    </row>
    <row r="25" spans="1:32" ht="15.75" thickBot="1">
      <c r="A25" s="3" t="s">
        <v>1</v>
      </c>
      <c r="B25" s="3" t="s">
        <v>2</v>
      </c>
      <c r="C25" s="3"/>
      <c r="D25" s="3"/>
      <c r="E25" s="632"/>
      <c r="F25" s="3"/>
      <c r="G25" s="3"/>
      <c r="H25" s="3"/>
      <c r="I25" s="3"/>
      <c r="J25" s="3"/>
      <c r="K25" s="3"/>
      <c r="L25" s="3"/>
      <c r="M25" s="290"/>
      <c r="N25" s="3"/>
      <c r="O25" s="3"/>
      <c r="P25" s="3"/>
      <c r="Q25" s="3"/>
      <c r="R25" s="3"/>
      <c r="U25" s="49"/>
      <c r="V25" s="49"/>
      <c r="W25" s="49"/>
      <c r="Z25" s="49"/>
      <c r="AE25" s="51"/>
    </row>
    <row r="26" spans="1:32" ht="15.75" thickBot="1">
      <c r="A26" s="14" t="s">
        <v>48</v>
      </c>
      <c r="B26" s="15"/>
      <c r="C26" s="377" t="s">
        <v>11</v>
      </c>
      <c r="D26" s="377" t="s">
        <v>12</v>
      </c>
      <c r="E26" s="377" t="s">
        <v>13</v>
      </c>
      <c r="F26" s="15"/>
      <c r="G26" s="485" t="s">
        <v>11</v>
      </c>
      <c r="H26" s="485" t="s">
        <v>12</v>
      </c>
      <c r="I26" s="485" t="s">
        <v>13</v>
      </c>
      <c r="J26" s="640"/>
      <c r="K26" s="296" t="s">
        <v>11</v>
      </c>
      <c r="L26" s="296" t="s">
        <v>12</v>
      </c>
      <c r="M26" s="296" t="s">
        <v>13</v>
      </c>
      <c r="N26" s="292"/>
      <c r="O26" s="228" t="s">
        <v>11</v>
      </c>
      <c r="P26" s="229" t="s">
        <v>12</v>
      </c>
      <c r="Q26" s="229" t="s">
        <v>13</v>
      </c>
      <c r="R26" s="249"/>
      <c r="S26" s="16" t="s">
        <v>15</v>
      </c>
      <c r="T26" s="17" t="s">
        <v>12</v>
      </c>
      <c r="U26" s="18" t="s">
        <v>13</v>
      </c>
      <c r="V26" s="52"/>
      <c r="W26" s="19"/>
      <c r="X26" s="20" t="s">
        <v>15</v>
      </c>
      <c r="Y26" s="21" t="s">
        <v>12</v>
      </c>
      <c r="Z26" s="22" t="s">
        <v>13</v>
      </c>
      <c r="AA26" s="166"/>
      <c r="AB26" s="10"/>
      <c r="AC26" s="23" t="s">
        <v>15</v>
      </c>
      <c r="AD26" s="24" t="s">
        <v>12</v>
      </c>
      <c r="AE26" s="25" t="s">
        <v>13</v>
      </c>
      <c r="AF26" s="114"/>
    </row>
    <row r="27" spans="1:32">
      <c r="A27" s="469" t="s">
        <v>49</v>
      </c>
      <c r="B27" s="637" t="s">
        <v>50</v>
      </c>
      <c r="C27" s="469">
        <v>9</v>
      </c>
      <c r="D27" s="469">
        <v>9</v>
      </c>
      <c r="E27" s="632">
        <f t="shared" si="0"/>
        <v>1</v>
      </c>
      <c r="F27" s="469"/>
      <c r="G27" s="641">
        <v>14</v>
      </c>
      <c r="H27" s="641">
        <v>14</v>
      </c>
      <c r="I27" s="642">
        <f>H27/G27</f>
        <v>1</v>
      </c>
      <c r="J27" s="641"/>
      <c r="K27" s="294">
        <v>29</v>
      </c>
      <c r="L27" s="294">
        <v>15</v>
      </c>
      <c r="M27" s="415">
        <f t="shared" si="1"/>
        <v>0.51724137931034486</v>
      </c>
      <c r="N27" s="294"/>
      <c r="O27" s="223">
        <v>14</v>
      </c>
      <c r="P27" s="223">
        <v>14</v>
      </c>
      <c r="Q27" s="223">
        <v>100</v>
      </c>
      <c r="R27" s="223"/>
      <c r="S27" s="273">
        <v>3</v>
      </c>
      <c r="T27" s="217">
        <v>3</v>
      </c>
      <c r="U27" s="170">
        <v>1</v>
      </c>
      <c r="V27" s="274"/>
      <c r="W27" s="54"/>
      <c r="X27" s="50"/>
      <c r="Y27" s="213"/>
      <c r="Z27" s="55"/>
      <c r="AA27" s="31"/>
      <c r="AB27" s="26"/>
      <c r="AC27" s="214"/>
      <c r="AD27" s="215"/>
      <c r="AE27" s="216"/>
      <c r="AF27" s="167"/>
    </row>
    <row r="28" spans="1:32">
      <c r="A28" s="463" t="s">
        <v>51</v>
      </c>
      <c r="B28" s="461" t="s">
        <v>52</v>
      </c>
      <c r="C28" s="469">
        <v>61</v>
      </c>
      <c r="D28" s="469">
        <v>25</v>
      </c>
      <c r="E28" s="632">
        <f t="shared" si="0"/>
        <v>0.4098360655737705</v>
      </c>
      <c r="F28" s="469"/>
      <c r="G28" s="641">
        <v>67</v>
      </c>
      <c r="H28" s="641">
        <v>29</v>
      </c>
      <c r="I28" s="642">
        <f t="shared" ref="I28:I42" si="2">H28/G28</f>
        <v>0.43283582089552236</v>
      </c>
      <c r="J28" s="641"/>
      <c r="K28" s="294">
        <v>90</v>
      </c>
      <c r="L28" s="294">
        <v>42</v>
      </c>
      <c r="M28" s="415">
        <f t="shared" si="1"/>
        <v>0.46666666666666667</v>
      </c>
      <c r="N28" s="294"/>
      <c r="O28" s="223">
        <v>84</v>
      </c>
      <c r="P28" s="223">
        <v>44</v>
      </c>
      <c r="Q28" s="223">
        <v>52</v>
      </c>
      <c r="R28" s="223"/>
      <c r="S28" s="275">
        <v>67</v>
      </c>
      <c r="T28" s="164">
        <v>23</v>
      </c>
      <c r="U28" s="170">
        <f>23/67</f>
        <v>0.34328358208955223</v>
      </c>
      <c r="V28" s="276"/>
      <c r="W28" s="54"/>
      <c r="X28" s="38">
        <v>56</v>
      </c>
      <c r="Y28" s="38">
        <v>23</v>
      </c>
      <c r="Z28" s="43">
        <f>23/56</f>
        <v>0.4107142857142857</v>
      </c>
      <c r="AA28" s="55"/>
      <c r="AB28" s="26"/>
      <c r="AC28" s="57">
        <v>45</v>
      </c>
      <c r="AD28" s="45">
        <v>16</v>
      </c>
      <c r="AE28" s="35">
        <f>16/45</f>
        <v>0.35555555555555557</v>
      </c>
      <c r="AF28" s="167"/>
    </row>
    <row r="29" spans="1:32">
      <c r="A29" s="463" t="s">
        <v>53</v>
      </c>
      <c r="B29" s="461" t="s">
        <v>54</v>
      </c>
      <c r="C29" s="469">
        <v>49</v>
      </c>
      <c r="D29" s="469">
        <v>16</v>
      </c>
      <c r="E29" s="632">
        <f t="shared" si="0"/>
        <v>0.32653061224489793</v>
      </c>
      <c r="F29" s="469"/>
      <c r="G29" s="641">
        <v>26</v>
      </c>
      <c r="H29" s="641">
        <v>25</v>
      </c>
      <c r="I29" s="642">
        <f t="shared" si="2"/>
        <v>0.96153846153846156</v>
      </c>
      <c r="J29" s="641"/>
      <c r="K29" s="294">
        <v>22</v>
      </c>
      <c r="L29" s="294">
        <v>17</v>
      </c>
      <c r="M29" s="415">
        <f t="shared" si="1"/>
        <v>0.77272727272727271</v>
      </c>
      <c r="N29" s="294"/>
      <c r="O29" s="223">
        <v>18</v>
      </c>
      <c r="P29" s="223">
        <v>17</v>
      </c>
      <c r="Q29" s="223">
        <v>94</v>
      </c>
      <c r="R29" s="223"/>
      <c r="S29" s="275">
        <v>25</v>
      </c>
      <c r="T29" s="164">
        <v>17</v>
      </c>
      <c r="U29" s="41">
        <f>17/25</f>
        <v>0.68</v>
      </c>
      <c r="V29" s="277"/>
      <c r="W29" s="42"/>
      <c r="X29" s="38">
        <v>26</v>
      </c>
      <c r="Y29" s="38">
        <v>26</v>
      </c>
      <c r="Z29" s="43">
        <v>1</v>
      </c>
      <c r="AA29" s="43"/>
      <c r="AB29" s="2"/>
      <c r="AC29" s="57">
        <v>22</v>
      </c>
      <c r="AD29" s="45">
        <v>21</v>
      </c>
      <c r="AE29" s="35">
        <f>21/22</f>
        <v>0.95454545454545459</v>
      </c>
      <c r="AF29" s="168"/>
    </row>
    <row r="30" spans="1:32">
      <c r="A30" s="463" t="s">
        <v>55</v>
      </c>
      <c r="B30" s="461" t="s">
        <v>56</v>
      </c>
      <c r="C30" s="469">
        <v>71</v>
      </c>
      <c r="D30" s="469">
        <v>51</v>
      </c>
      <c r="E30" s="632">
        <f t="shared" si="0"/>
        <v>0.71830985915492962</v>
      </c>
      <c r="F30" s="469"/>
      <c r="G30" s="641">
        <v>73</v>
      </c>
      <c r="H30" s="641">
        <v>49</v>
      </c>
      <c r="I30" s="642">
        <f t="shared" si="2"/>
        <v>0.67123287671232879</v>
      </c>
      <c r="J30" s="641"/>
      <c r="K30" s="294">
        <v>73</v>
      </c>
      <c r="L30" s="294">
        <v>43</v>
      </c>
      <c r="M30" s="415">
        <f t="shared" si="1"/>
        <v>0.58904109589041098</v>
      </c>
      <c r="N30" s="294"/>
      <c r="O30" s="223">
        <v>61</v>
      </c>
      <c r="P30" s="223">
        <v>45</v>
      </c>
      <c r="Q30" s="223">
        <v>73</v>
      </c>
      <c r="R30" s="223"/>
      <c r="S30" s="275">
        <v>96</v>
      </c>
      <c r="T30" s="164">
        <v>66</v>
      </c>
      <c r="U30" s="41">
        <f>66/96</f>
        <v>0.6875</v>
      </c>
      <c r="V30" s="277"/>
      <c r="W30" s="42"/>
      <c r="X30" s="38">
        <v>67</v>
      </c>
      <c r="Y30" s="38">
        <v>24</v>
      </c>
      <c r="Z30" s="43">
        <f>24/67</f>
        <v>0.35820895522388058</v>
      </c>
      <c r="AA30" s="43"/>
      <c r="AB30" s="2"/>
      <c r="AC30" s="57">
        <v>58</v>
      </c>
      <c r="AD30" s="45">
        <v>49</v>
      </c>
      <c r="AE30" s="35">
        <f>49/58</f>
        <v>0.84482758620689657</v>
      </c>
      <c r="AF30" s="168"/>
    </row>
    <row r="31" spans="1:32">
      <c r="A31" s="463" t="s">
        <v>57</v>
      </c>
      <c r="B31" s="461" t="s">
        <v>58</v>
      </c>
      <c r="C31" s="469">
        <v>52</v>
      </c>
      <c r="D31" s="469">
        <v>16</v>
      </c>
      <c r="E31" s="632">
        <f t="shared" si="0"/>
        <v>0.30769230769230771</v>
      </c>
      <c r="F31" s="469"/>
      <c r="G31" s="641">
        <v>50</v>
      </c>
      <c r="H31" s="641">
        <v>19</v>
      </c>
      <c r="I31" s="642">
        <f t="shared" si="2"/>
        <v>0.38</v>
      </c>
      <c r="J31" s="641"/>
      <c r="K31" s="294">
        <v>38</v>
      </c>
      <c r="L31" s="294">
        <v>16</v>
      </c>
      <c r="M31" s="415">
        <f t="shared" si="1"/>
        <v>0.42105263157894735</v>
      </c>
      <c r="N31" s="294"/>
      <c r="O31" s="223">
        <v>41</v>
      </c>
      <c r="P31" s="223">
        <v>20</v>
      </c>
      <c r="Q31" s="223">
        <v>48</v>
      </c>
      <c r="R31" s="223"/>
      <c r="S31" s="275">
        <v>38</v>
      </c>
      <c r="T31" s="164">
        <v>23</v>
      </c>
      <c r="U31" s="58">
        <v>0.61</v>
      </c>
      <c r="V31" s="278"/>
      <c r="W31" s="56"/>
      <c r="X31" s="38">
        <v>38</v>
      </c>
      <c r="Y31" s="38">
        <v>23</v>
      </c>
      <c r="Z31" s="43">
        <f>23/38</f>
        <v>0.60526315789473684</v>
      </c>
      <c r="AA31" s="43"/>
      <c r="AB31" s="2"/>
      <c r="AC31" s="57">
        <v>27</v>
      </c>
      <c r="AD31" s="45">
        <v>18</v>
      </c>
      <c r="AE31" s="35">
        <f>18/27</f>
        <v>0.66666666666666663</v>
      </c>
      <c r="AF31" s="168"/>
    </row>
    <row r="32" spans="1:32">
      <c r="A32" s="463" t="s">
        <v>59</v>
      </c>
      <c r="B32" s="461" t="s">
        <v>60</v>
      </c>
      <c r="C32" s="469">
        <v>54</v>
      </c>
      <c r="D32" s="469">
        <v>11</v>
      </c>
      <c r="E32" s="632">
        <f t="shared" si="0"/>
        <v>0.20370370370370369</v>
      </c>
      <c r="F32" s="469"/>
      <c r="G32" s="641">
        <v>45</v>
      </c>
      <c r="H32" s="641">
        <v>27</v>
      </c>
      <c r="I32" s="642">
        <f t="shared" si="2"/>
        <v>0.6</v>
      </c>
      <c r="J32" s="641"/>
      <c r="K32" s="294">
        <v>36</v>
      </c>
      <c r="L32" s="294">
        <v>19</v>
      </c>
      <c r="M32" s="415">
        <f t="shared" si="1"/>
        <v>0.52777777777777779</v>
      </c>
      <c r="N32" s="294"/>
      <c r="O32" s="223"/>
      <c r="P32" s="223"/>
      <c r="Q32" s="223"/>
      <c r="R32" s="223"/>
      <c r="S32" s="275"/>
      <c r="T32" s="164"/>
      <c r="U32" s="58"/>
      <c r="V32" s="278"/>
      <c r="W32" s="56"/>
      <c r="X32" s="38"/>
      <c r="Y32" s="38"/>
      <c r="Z32" s="43"/>
      <c r="AA32" s="43"/>
      <c r="AB32" s="2"/>
      <c r="AC32" s="57"/>
      <c r="AD32" s="45"/>
      <c r="AE32" s="35"/>
      <c r="AF32" s="168"/>
    </row>
    <row r="33" spans="1:32">
      <c r="A33" s="463" t="s">
        <v>61</v>
      </c>
      <c r="B33" s="461" t="s">
        <v>62</v>
      </c>
      <c r="C33" s="469">
        <v>213</v>
      </c>
      <c r="D33" s="469">
        <v>116</v>
      </c>
      <c r="E33" s="632">
        <f t="shared" si="0"/>
        <v>0.54460093896713613</v>
      </c>
      <c r="F33" s="469"/>
      <c r="G33" s="641">
        <v>185</v>
      </c>
      <c r="H33" s="641">
        <v>134</v>
      </c>
      <c r="I33" s="642">
        <f t="shared" si="2"/>
        <v>0.72432432432432436</v>
      </c>
      <c r="J33" s="641"/>
      <c r="K33" s="294">
        <v>198</v>
      </c>
      <c r="L33" s="294">
        <v>135</v>
      </c>
      <c r="M33" s="415">
        <f t="shared" si="1"/>
        <v>0.68181818181818177</v>
      </c>
      <c r="N33" s="294"/>
      <c r="O33" s="223">
        <v>229</v>
      </c>
      <c r="P33" s="223">
        <v>147</v>
      </c>
      <c r="Q33" s="223">
        <v>64</v>
      </c>
      <c r="R33" s="223"/>
      <c r="S33" s="275">
        <v>341</v>
      </c>
      <c r="T33" s="164">
        <v>212</v>
      </c>
      <c r="U33" s="58">
        <v>0.62</v>
      </c>
      <c r="V33" s="278"/>
      <c r="W33" s="56"/>
      <c r="X33" s="38">
        <v>278</v>
      </c>
      <c r="Y33" s="38">
        <v>182</v>
      </c>
      <c r="Z33" s="43">
        <f>182/278</f>
        <v>0.65467625899280579</v>
      </c>
      <c r="AA33" s="43"/>
      <c r="AB33" s="2"/>
      <c r="AC33" s="57">
        <v>221</v>
      </c>
      <c r="AD33" s="45">
        <v>172</v>
      </c>
      <c r="AE33" s="35">
        <f>172/221</f>
        <v>0.77828054298642535</v>
      </c>
      <c r="AF33" s="168"/>
    </row>
    <row r="34" spans="1:32">
      <c r="A34" s="463" t="s">
        <v>63</v>
      </c>
      <c r="B34" s="461" t="s">
        <v>64</v>
      </c>
      <c r="C34" s="469">
        <v>85</v>
      </c>
      <c r="D34" s="469">
        <v>52</v>
      </c>
      <c r="E34" s="632">
        <f t="shared" si="0"/>
        <v>0.61176470588235299</v>
      </c>
      <c r="F34" s="469"/>
      <c r="G34" s="641">
        <v>70</v>
      </c>
      <c r="H34" s="641">
        <v>57</v>
      </c>
      <c r="I34" s="642">
        <f t="shared" si="2"/>
        <v>0.81428571428571428</v>
      </c>
      <c r="J34" s="641"/>
      <c r="K34" s="294"/>
      <c r="L34" s="294"/>
      <c r="M34" s="415"/>
      <c r="N34" s="294"/>
      <c r="O34" s="223"/>
      <c r="P34" s="223"/>
      <c r="Q34" s="223"/>
      <c r="R34" s="223"/>
      <c r="S34" s="275"/>
      <c r="T34" s="164"/>
      <c r="U34" s="58"/>
      <c r="V34" s="278"/>
      <c r="W34" s="56"/>
      <c r="X34" s="38"/>
      <c r="Y34" s="38"/>
      <c r="Z34" s="43"/>
      <c r="AA34" s="43"/>
      <c r="AB34" s="2"/>
      <c r="AC34" s="57"/>
      <c r="AD34" s="45"/>
      <c r="AE34" s="35"/>
      <c r="AF34" s="168"/>
    </row>
    <row r="35" spans="1:32">
      <c r="A35" s="463" t="s">
        <v>65</v>
      </c>
      <c r="B35" s="461" t="s">
        <v>66</v>
      </c>
      <c r="C35" s="469">
        <v>48</v>
      </c>
      <c r="D35" s="469">
        <v>43</v>
      </c>
      <c r="E35" s="632">
        <f t="shared" si="0"/>
        <v>0.89583333333333337</v>
      </c>
      <c r="F35" s="469"/>
      <c r="G35" s="641">
        <v>41</v>
      </c>
      <c r="H35" s="641">
        <v>34</v>
      </c>
      <c r="I35" s="642">
        <f t="shared" si="2"/>
        <v>0.82926829268292679</v>
      </c>
      <c r="J35" s="641"/>
      <c r="K35" s="294">
        <v>32</v>
      </c>
      <c r="L35" s="294">
        <v>27</v>
      </c>
      <c r="M35" s="415">
        <f t="shared" si="1"/>
        <v>0.84375</v>
      </c>
      <c r="N35" s="294"/>
      <c r="O35" s="223"/>
      <c r="P35" s="223"/>
      <c r="Q35" s="223"/>
      <c r="R35" s="223"/>
      <c r="S35" s="275"/>
      <c r="T35" s="164"/>
      <c r="U35" s="58"/>
      <c r="V35" s="278"/>
      <c r="W35" s="56"/>
      <c r="X35" s="38"/>
      <c r="Y35" s="38"/>
      <c r="Z35" s="43"/>
      <c r="AA35" s="43"/>
      <c r="AB35" s="2"/>
      <c r="AC35" s="57"/>
      <c r="AD35" s="45"/>
      <c r="AE35" s="35"/>
      <c r="AF35" s="168"/>
    </row>
    <row r="36" spans="1:32">
      <c r="A36" s="463" t="s">
        <v>67</v>
      </c>
      <c r="B36" s="461" t="s">
        <v>68</v>
      </c>
      <c r="C36" s="469">
        <v>196</v>
      </c>
      <c r="D36" s="469">
        <v>112</v>
      </c>
      <c r="E36" s="632">
        <f t="shared" si="0"/>
        <v>0.5714285714285714</v>
      </c>
      <c r="F36" s="469"/>
      <c r="G36" s="641">
        <v>230</v>
      </c>
      <c r="H36" s="641">
        <v>111</v>
      </c>
      <c r="I36" s="642">
        <f t="shared" si="2"/>
        <v>0.4826086956521739</v>
      </c>
      <c r="J36" s="641"/>
      <c r="K36" s="294"/>
      <c r="L36" s="294"/>
      <c r="M36" s="415"/>
      <c r="N36" s="294"/>
      <c r="O36" s="223"/>
      <c r="P36" s="223"/>
      <c r="Q36" s="223"/>
      <c r="R36" s="223"/>
      <c r="S36" s="275"/>
      <c r="T36" s="164"/>
      <c r="U36" s="58"/>
      <c r="V36" s="278"/>
      <c r="W36" s="56"/>
      <c r="X36" s="38"/>
      <c r="Y36" s="38"/>
      <c r="Z36" s="43"/>
      <c r="AA36" s="43"/>
      <c r="AB36" s="2"/>
      <c r="AC36" s="57"/>
      <c r="AD36" s="45"/>
      <c r="AE36" s="35"/>
      <c r="AF36" s="168"/>
    </row>
    <row r="37" spans="1:32">
      <c r="A37" s="463" t="s">
        <v>69</v>
      </c>
      <c r="B37" s="461" t="s">
        <v>70</v>
      </c>
      <c r="C37" s="469">
        <v>35</v>
      </c>
      <c r="D37" s="469">
        <v>13</v>
      </c>
      <c r="E37" s="632">
        <f t="shared" si="0"/>
        <v>0.37142857142857144</v>
      </c>
      <c r="F37" s="469"/>
      <c r="G37" s="641">
        <v>38</v>
      </c>
      <c r="H37" s="641">
        <v>19</v>
      </c>
      <c r="I37" s="642">
        <f t="shared" si="2"/>
        <v>0.5</v>
      </c>
      <c r="J37" s="641"/>
      <c r="K37" s="294">
        <v>62</v>
      </c>
      <c r="L37" s="294">
        <v>31</v>
      </c>
      <c r="M37" s="415">
        <f t="shared" si="1"/>
        <v>0.5</v>
      </c>
      <c r="N37" s="294"/>
      <c r="O37" s="223"/>
      <c r="P37" s="223"/>
      <c r="Q37" s="223"/>
      <c r="R37" s="223"/>
      <c r="S37" s="275"/>
      <c r="T37" s="164"/>
      <c r="U37" s="58"/>
      <c r="V37" s="278"/>
      <c r="W37" s="56"/>
      <c r="X37" s="38"/>
      <c r="Y37" s="38"/>
      <c r="Z37" s="43"/>
      <c r="AA37" s="43"/>
      <c r="AB37" s="2"/>
      <c r="AC37" s="57"/>
      <c r="AD37" s="45"/>
      <c r="AE37" s="35"/>
      <c r="AF37" s="168"/>
    </row>
    <row r="38" spans="1:32">
      <c r="A38" s="463" t="s">
        <v>71</v>
      </c>
      <c r="B38" s="461" t="s">
        <v>72</v>
      </c>
      <c r="C38" s="469">
        <v>85</v>
      </c>
      <c r="D38" s="469">
        <v>53</v>
      </c>
      <c r="E38" s="632">
        <f t="shared" si="0"/>
        <v>0.62352941176470589</v>
      </c>
      <c r="F38" s="469"/>
      <c r="G38" s="641">
        <v>83</v>
      </c>
      <c r="H38" s="641">
        <v>61</v>
      </c>
      <c r="I38" s="642">
        <f t="shared" si="2"/>
        <v>0.73493975903614461</v>
      </c>
      <c r="J38" s="641"/>
      <c r="K38" s="294">
        <v>102</v>
      </c>
      <c r="L38" s="294">
        <v>57</v>
      </c>
      <c r="M38" s="415">
        <f t="shared" si="1"/>
        <v>0.55882352941176472</v>
      </c>
      <c r="N38" s="294"/>
      <c r="O38" s="223">
        <v>116</v>
      </c>
      <c r="P38" s="223">
        <v>74</v>
      </c>
      <c r="Q38" s="223">
        <v>63</v>
      </c>
      <c r="R38" s="223"/>
      <c r="S38" s="275">
        <v>158</v>
      </c>
      <c r="T38" s="164">
        <v>102</v>
      </c>
      <c r="U38" s="58">
        <f>102/158</f>
        <v>0.64556962025316456</v>
      </c>
      <c r="V38" s="211"/>
      <c r="W38" s="56"/>
      <c r="X38" s="38">
        <v>116</v>
      </c>
      <c r="Y38" s="38">
        <v>77</v>
      </c>
      <c r="Z38" s="43">
        <f>77/116</f>
        <v>0.66379310344827591</v>
      </c>
      <c r="AA38" s="43"/>
      <c r="AB38" s="2"/>
      <c r="AC38" s="57">
        <v>67</v>
      </c>
      <c r="AD38" s="45">
        <v>27</v>
      </c>
      <c r="AE38" s="35">
        <f>27/67</f>
        <v>0.40298507462686567</v>
      </c>
      <c r="AF38" s="168"/>
    </row>
    <row r="39" spans="1:32">
      <c r="A39" s="463" t="s">
        <v>73</v>
      </c>
      <c r="B39" s="461" t="s">
        <v>74</v>
      </c>
      <c r="C39" s="469">
        <v>87</v>
      </c>
      <c r="D39" s="469">
        <v>59</v>
      </c>
      <c r="E39" s="632">
        <f t="shared" si="0"/>
        <v>0.67816091954022983</v>
      </c>
      <c r="F39" s="469"/>
      <c r="G39" s="641">
        <v>67</v>
      </c>
      <c r="H39" s="641">
        <v>47</v>
      </c>
      <c r="I39" s="642">
        <f t="shared" si="2"/>
        <v>0.70149253731343286</v>
      </c>
      <c r="J39" s="641"/>
      <c r="K39" s="294">
        <v>84</v>
      </c>
      <c r="L39" s="294">
        <v>58</v>
      </c>
      <c r="M39" s="415">
        <f t="shared" si="1"/>
        <v>0.69047619047619047</v>
      </c>
      <c r="N39" s="294"/>
      <c r="O39" s="223"/>
      <c r="P39" s="223"/>
      <c r="Q39" s="223"/>
      <c r="R39" s="223"/>
      <c r="S39" s="275"/>
      <c r="T39" s="164"/>
      <c r="U39" s="58"/>
      <c r="V39" s="211"/>
      <c r="W39" s="56"/>
      <c r="X39" s="38"/>
      <c r="Y39" s="38"/>
      <c r="Z39" s="43"/>
      <c r="AA39" s="43"/>
      <c r="AB39" s="2"/>
      <c r="AC39" s="57"/>
      <c r="AD39" s="45"/>
      <c r="AE39" s="35"/>
      <c r="AF39" s="168"/>
    </row>
    <row r="40" spans="1:32">
      <c r="A40" s="463" t="s">
        <v>75</v>
      </c>
      <c r="B40" s="461" t="s">
        <v>76</v>
      </c>
      <c r="C40" s="469">
        <v>56</v>
      </c>
      <c r="D40" s="469">
        <v>51</v>
      </c>
      <c r="E40" s="632">
        <f t="shared" si="0"/>
        <v>0.9107142857142857</v>
      </c>
      <c r="F40" s="469"/>
      <c r="G40" s="641">
        <v>72</v>
      </c>
      <c r="H40" s="641">
        <v>61</v>
      </c>
      <c r="I40" s="642">
        <f t="shared" si="2"/>
        <v>0.84722222222222221</v>
      </c>
      <c r="J40" s="641"/>
      <c r="K40" s="294">
        <v>70</v>
      </c>
      <c r="L40" s="294">
        <v>60</v>
      </c>
      <c r="M40" s="415">
        <f t="shared" si="1"/>
        <v>0.8571428571428571</v>
      </c>
      <c r="N40" s="294"/>
      <c r="O40" s="223">
        <v>80</v>
      </c>
      <c r="P40" s="223">
        <v>55</v>
      </c>
      <c r="Q40" s="223">
        <v>68</v>
      </c>
      <c r="R40" s="223"/>
      <c r="S40" s="150">
        <v>101</v>
      </c>
      <c r="T40" s="37">
        <v>69</v>
      </c>
      <c r="U40" s="58">
        <f>69/101</f>
        <v>0.68316831683168322</v>
      </c>
      <c r="V40" s="278"/>
      <c r="W40" s="56"/>
      <c r="X40" s="38">
        <v>84</v>
      </c>
      <c r="Y40" s="38">
        <v>36</v>
      </c>
      <c r="Z40" s="43">
        <f>36/84</f>
        <v>0.42857142857142855</v>
      </c>
      <c r="AA40" s="43"/>
      <c r="AB40" s="2"/>
      <c r="AC40" s="57">
        <v>73</v>
      </c>
      <c r="AD40" s="45">
        <v>63</v>
      </c>
      <c r="AE40" s="35">
        <f>63/73</f>
        <v>0.86301369863013699</v>
      </c>
      <c r="AF40" s="168"/>
    </row>
    <row r="41" spans="1:32">
      <c r="A41" s="463" t="s">
        <v>77</v>
      </c>
      <c r="B41" s="461" t="s">
        <v>78</v>
      </c>
      <c r="C41" s="469">
        <v>73</v>
      </c>
      <c r="D41" s="469">
        <v>51</v>
      </c>
      <c r="E41" s="632">
        <f t="shared" si="0"/>
        <v>0.69863013698630139</v>
      </c>
      <c r="F41" s="469"/>
      <c r="G41" s="641">
        <v>73</v>
      </c>
      <c r="H41" s="641">
        <v>53</v>
      </c>
      <c r="I41" s="642">
        <f t="shared" si="2"/>
        <v>0.72602739726027399</v>
      </c>
      <c r="J41" s="641"/>
      <c r="K41" s="294">
        <v>84</v>
      </c>
      <c r="L41" s="294">
        <v>68</v>
      </c>
      <c r="M41" s="415">
        <f t="shared" si="1"/>
        <v>0.80952380952380953</v>
      </c>
      <c r="N41" s="294"/>
      <c r="O41" s="223">
        <v>107</v>
      </c>
      <c r="P41" s="223">
        <v>91</v>
      </c>
      <c r="Q41" s="223">
        <v>85</v>
      </c>
      <c r="R41" s="223"/>
      <c r="S41" s="275">
        <v>118</v>
      </c>
      <c r="T41" s="164">
        <v>94</v>
      </c>
      <c r="U41" s="58">
        <v>0.8</v>
      </c>
      <c r="V41" s="278"/>
      <c r="W41" s="56"/>
      <c r="X41" s="38">
        <v>79</v>
      </c>
      <c r="Y41" s="38">
        <v>52</v>
      </c>
      <c r="Z41" s="43">
        <f>52/79</f>
        <v>0.65822784810126578</v>
      </c>
      <c r="AA41" s="43"/>
      <c r="AB41" s="2"/>
      <c r="AC41" s="57">
        <v>63</v>
      </c>
      <c r="AD41" s="45">
        <v>54</v>
      </c>
      <c r="AE41" s="35">
        <f>54/63</f>
        <v>0.8571428571428571</v>
      </c>
      <c r="AF41" s="168"/>
    </row>
    <row r="42" spans="1:32" ht="15.75" thickBot="1">
      <c r="A42" s="464" t="s">
        <v>79</v>
      </c>
      <c r="B42" s="465" t="s">
        <v>80</v>
      </c>
      <c r="C42" s="469">
        <v>68</v>
      </c>
      <c r="D42" s="469">
        <v>39</v>
      </c>
      <c r="E42" s="632">
        <f t="shared" si="0"/>
        <v>0.57352941176470584</v>
      </c>
      <c r="F42" s="469"/>
      <c r="G42" s="643">
        <v>65</v>
      </c>
      <c r="H42" s="643">
        <v>56</v>
      </c>
      <c r="I42" s="642">
        <f t="shared" si="2"/>
        <v>0.86153846153846159</v>
      </c>
      <c r="J42" s="643"/>
      <c r="K42" s="295">
        <v>71</v>
      </c>
      <c r="L42" s="295">
        <v>57</v>
      </c>
      <c r="M42" s="415">
        <f t="shared" si="1"/>
        <v>0.80281690140845074</v>
      </c>
      <c r="N42" s="295"/>
      <c r="O42" s="230">
        <v>76</v>
      </c>
      <c r="P42" s="230">
        <v>42</v>
      </c>
      <c r="Q42" s="230">
        <v>55</v>
      </c>
      <c r="R42" s="230"/>
      <c r="S42" s="279">
        <v>73</v>
      </c>
      <c r="T42" s="180">
        <v>49</v>
      </c>
      <c r="U42" s="186">
        <v>0.67</v>
      </c>
      <c r="V42" s="280"/>
      <c r="W42" s="181"/>
      <c r="X42" s="174">
        <v>70</v>
      </c>
      <c r="Y42" s="174">
        <v>22</v>
      </c>
      <c r="Z42" s="175">
        <f>22/70</f>
        <v>0.31428571428571428</v>
      </c>
      <c r="AA42" s="175"/>
      <c r="AB42" s="176"/>
      <c r="AC42" s="134">
        <v>36</v>
      </c>
      <c r="AD42" s="129">
        <v>29</v>
      </c>
      <c r="AE42" s="130">
        <f>29/36</f>
        <v>0.80555555555555558</v>
      </c>
      <c r="AF42" s="169"/>
    </row>
    <row r="43" spans="1:32" ht="15.75" thickBot="1">
      <c r="A43" s="182"/>
      <c r="B43" s="183"/>
      <c r="C43" s="476">
        <f>SUM(C27:C42)</f>
        <v>1242</v>
      </c>
      <c r="D43" s="189">
        <f>SUM(D27:D42)</f>
        <v>717</v>
      </c>
      <c r="E43" s="635">
        <f t="shared" si="0"/>
        <v>0.57729468599033817</v>
      </c>
      <c r="F43" s="645"/>
      <c r="G43" s="485">
        <f>SUM(G27:G42)</f>
        <v>1199</v>
      </c>
      <c r="H43" s="485">
        <f t="shared" ref="H43" si="3">SUM(H27:H42)</f>
        <v>796</v>
      </c>
      <c r="I43" s="646">
        <f>H43/G43</f>
        <v>0.66388657214345292</v>
      </c>
      <c r="J43" s="644"/>
      <c r="K43" s="296">
        <f>SUM(K27:K42)</f>
        <v>991</v>
      </c>
      <c r="L43" s="296">
        <f>SUM(L27:L42)</f>
        <v>645</v>
      </c>
      <c r="M43" s="416">
        <f>L43/K43</f>
        <v>0.65085771947527749</v>
      </c>
      <c r="N43" s="292"/>
      <c r="O43" s="249">
        <f>SUM(O27:O42)</f>
        <v>826</v>
      </c>
      <c r="P43" s="249">
        <f>SUM(P27:P42)</f>
        <v>549</v>
      </c>
      <c r="Q43" s="250">
        <f>551/829</f>
        <v>0.66465621230398075</v>
      </c>
      <c r="R43" s="221"/>
      <c r="S43" s="281">
        <f>SUM(S27:S42)</f>
        <v>1020</v>
      </c>
      <c r="T43" s="165">
        <f>SUM(T27:T42)</f>
        <v>658</v>
      </c>
      <c r="U43" s="187">
        <f>658/1020</f>
        <v>0.64509803921568631</v>
      </c>
      <c r="V43" s="282"/>
      <c r="W43" s="184"/>
      <c r="X43" s="94">
        <f>SUM(X28:X42)</f>
        <v>814</v>
      </c>
      <c r="Y43" s="94">
        <f>SUM(Y28:Y42)</f>
        <v>465</v>
      </c>
      <c r="Z43" s="188">
        <f>563/987</f>
        <v>0.57041540020263426</v>
      </c>
      <c r="AA43" s="188"/>
      <c r="AB43" s="189"/>
      <c r="AC43" s="190">
        <f>SUM(AC28:AC42)</f>
        <v>612</v>
      </c>
      <c r="AD43" s="191">
        <f>SUM(AD28:AD42)</f>
        <v>449</v>
      </c>
      <c r="AE43" s="192">
        <f>517/701</f>
        <v>0.73751783166904428</v>
      </c>
      <c r="AF43" s="185"/>
    </row>
    <row r="44" spans="1:32">
      <c r="E44" s="632"/>
      <c r="M44" s="290"/>
      <c r="S44" s="163"/>
      <c r="T44" s="163"/>
      <c r="U44" s="171"/>
      <c r="V44" s="36"/>
      <c r="W44" s="36"/>
      <c r="X44" s="36"/>
      <c r="Y44" s="36"/>
      <c r="Z44" s="177"/>
      <c r="AA44" s="177"/>
      <c r="AC44" s="178"/>
      <c r="AD44" s="139"/>
      <c r="AE44" s="177"/>
      <c r="AF44" s="179"/>
    </row>
    <row r="45" spans="1:32" ht="15.75" thickBot="1">
      <c r="A45" s="36"/>
      <c r="B45" s="48"/>
      <c r="C45" s="48"/>
      <c r="D45" s="48"/>
      <c r="E45" s="632"/>
      <c r="F45" s="48"/>
      <c r="G45" s="48"/>
      <c r="H45" s="48"/>
      <c r="I45" s="48"/>
      <c r="J45" s="48"/>
      <c r="K45" s="48"/>
      <c r="L45" s="48"/>
      <c r="M45" s="290"/>
      <c r="N45" s="48"/>
      <c r="O45" s="48"/>
      <c r="P45" s="48"/>
      <c r="Q45" s="48"/>
      <c r="R45" s="48"/>
      <c r="S45" s="3"/>
      <c r="T45" s="3"/>
      <c r="U45" s="62"/>
      <c r="V45" s="62"/>
      <c r="W45" s="62"/>
      <c r="X45" s="3"/>
      <c r="Y45" s="3"/>
      <c r="Z45" s="62"/>
      <c r="AA45" s="62"/>
      <c r="AB45" s="3"/>
      <c r="AC45" s="3"/>
      <c r="AD45" s="3"/>
      <c r="AE45" s="62"/>
      <c r="AF45" s="62"/>
    </row>
    <row r="46" spans="1:32">
      <c r="A46" s="63" t="s">
        <v>81</v>
      </c>
      <c r="B46" s="64" t="s">
        <v>82</v>
      </c>
      <c r="C46" s="64">
        <f>C30+C32+C34+C35+C39+C40+C41+C42</f>
        <v>542</v>
      </c>
      <c r="D46" s="64">
        <f>D30+D32+D34+D35+D39+D40+D41+D42</f>
        <v>357</v>
      </c>
      <c r="E46" s="651">
        <f>D46/C46</f>
        <v>0.65867158671586712</v>
      </c>
      <c r="F46" s="649"/>
      <c r="G46" s="490">
        <f>G30+G32+G34+G35+G39+G40+G41+G42</f>
        <v>506</v>
      </c>
      <c r="H46" s="490">
        <f>H30+H32+H34+H35+H39+H40+H41+H42</f>
        <v>384</v>
      </c>
      <c r="I46" s="647">
        <f>H46/G46</f>
        <v>0.75889328063241102</v>
      </c>
      <c r="J46" s="490"/>
      <c r="K46" s="359">
        <f>K30+K32+K35+K39+K40+K41+K42+K42</f>
        <v>521</v>
      </c>
      <c r="L46" s="302">
        <f>L30+L32+L35+L39+L40+L41+L42</f>
        <v>332</v>
      </c>
      <c r="M46" s="417">
        <f>L46/K46</f>
        <v>0.63723608445297508</v>
      </c>
      <c r="N46" s="361"/>
      <c r="O46" s="363">
        <v>327</v>
      </c>
      <c r="P46" s="257">
        <v>235</v>
      </c>
      <c r="Q46" s="268">
        <v>0.71</v>
      </c>
      <c r="R46" s="364"/>
      <c r="S46" s="65">
        <v>320</v>
      </c>
      <c r="T46" s="65">
        <v>210</v>
      </c>
      <c r="U46" s="66">
        <f>210/320</f>
        <v>0.65625</v>
      </c>
      <c r="V46" s="66"/>
      <c r="W46" s="67"/>
      <c r="X46" s="68">
        <v>300</v>
      </c>
      <c r="Y46" s="68">
        <v>134</v>
      </c>
      <c r="Z46" s="69">
        <f>134/300</f>
        <v>0.44666666666666666</v>
      </c>
      <c r="AA46" s="69"/>
      <c r="AB46" s="70"/>
      <c r="AC46" s="71">
        <v>230</v>
      </c>
      <c r="AD46" s="71">
        <v>195</v>
      </c>
      <c r="AE46" s="72">
        <f>195/230</f>
        <v>0.84782608695652173</v>
      </c>
      <c r="AF46" s="115"/>
    </row>
    <row r="47" spans="1:32" ht="15.75" thickBot="1">
      <c r="A47" s="73" t="s">
        <v>83</v>
      </c>
      <c r="B47" s="74" t="s">
        <v>84</v>
      </c>
      <c r="C47" s="74">
        <f>C27+C28+C29+C31+C33+C36+C37+C38</f>
        <v>700</v>
      </c>
      <c r="D47" s="74">
        <f>D27+D28+D29+D31+D33+D36+D37+D38</f>
        <v>360</v>
      </c>
      <c r="E47" s="652">
        <f>D47/C47</f>
        <v>0.51428571428571423</v>
      </c>
      <c r="F47" s="316"/>
      <c r="G47" s="597">
        <f>G27+G28+G29+G31+G33+G36+G37+G38</f>
        <v>693</v>
      </c>
      <c r="H47" s="597">
        <f>H27+H28+H29+H31+H33+H36+H37+H38</f>
        <v>412</v>
      </c>
      <c r="I47" s="648">
        <f>H47/G47</f>
        <v>0.59451659451659455</v>
      </c>
      <c r="J47" s="597"/>
      <c r="K47" s="315">
        <f>K27+K28+K29+K31+K33+K37+K38</f>
        <v>541</v>
      </c>
      <c r="L47" s="297">
        <f>L27+L28+L29+L31+L33+L37+L38</f>
        <v>313</v>
      </c>
      <c r="M47" s="418">
        <f>L47/K47</f>
        <v>0.57855822550831792</v>
      </c>
      <c r="N47" s="362"/>
      <c r="O47" s="365">
        <v>502</v>
      </c>
      <c r="P47" s="259">
        <v>316</v>
      </c>
      <c r="Q47" s="269">
        <v>0.63</v>
      </c>
      <c r="R47" s="366"/>
      <c r="S47" s="75">
        <v>632</v>
      </c>
      <c r="T47" s="75">
        <v>379</v>
      </c>
      <c r="U47" s="76">
        <f>379/632</f>
        <v>0.59968354430379744</v>
      </c>
      <c r="V47" s="76"/>
      <c r="W47" s="77"/>
      <c r="X47" s="78">
        <v>687</v>
      </c>
      <c r="Y47" s="78">
        <v>429</v>
      </c>
      <c r="Z47" s="79">
        <f>429/687</f>
        <v>0.62445414847161573</v>
      </c>
      <c r="AA47" s="79"/>
      <c r="AB47" s="80"/>
      <c r="AC47" s="81">
        <v>471</v>
      </c>
      <c r="AD47" s="81">
        <v>322</v>
      </c>
      <c r="AE47" s="82">
        <f>322/471</f>
        <v>0.68365180467091291</v>
      </c>
      <c r="AF47" s="116"/>
    </row>
    <row r="48" spans="1:32" ht="15.75" thickBot="1">
      <c r="A48" s="36"/>
      <c r="B48" s="36"/>
      <c r="C48" s="36"/>
      <c r="D48" s="36"/>
      <c r="E48" s="632"/>
      <c r="F48" s="36"/>
      <c r="G48" s="36"/>
      <c r="H48" s="36"/>
      <c r="I48" s="36"/>
      <c r="J48" s="36"/>
      <c r="K48" s="36"/>
      <c r="L48" s="36"/>
      <c r="M48" s="290"/>
      <c r="N48" s="36"/>
      <c r="O48" s="36"/>
      <c r="P48" s="36"/>
      <c r="Q48" s="36"/>
      <c r="R48" s="36"/>
      <c r="U48" s="83"/>
      <c r="V48" s="84"/>
      <c r="W48" s="84"/>
      <c r="Z48" s="83"/>
      <c r="AA48" s="83"/>
      <c r="AE48" s="83"/>
      <c r="AF48" s="83"/>
    </row>
    <row r="49" spans="1:32" ht="15.75" thickBot="1">
      <c r="A49" s="473" t="s">
        <v>1</v>
      </c>
      <c r="B49" s="189" t="s">
        <v>2</v>
      </c>
      <c r="C49" s="189"/>
      <c r="D49" s="189"/>
      <c r="E49" s="638"/>
      <c r="F49" s="189"/>
      <c r="G49" s="189"/>
      <c r="H49" s="189"/>
      <c r="I49" s="189"/>
      <c r="J49" s="189"/>
      <c r="K49" s="296"/>
      <c r="L49" s="296"/>
      <c r="M49" s="296"/>
      <c r="N49" s="296"/>
      <c r="O49" s="189"/>
      <c r="P49" s="189"/>
      <c r="Q49" s="189"/>
      <c r="R49" s="189"/>
      <c r="S49" s="271"/>
      <c r="T49" s="271"/>
      <c r="U49" s="660"/>
      <c r="V49" s="660"/>
      <c r="W49" s="661"/>
      <c r="X49" s="271"/>
      <c r="Y49" s="271"/>
      <c r="Z49" s="660"/>
      <c r="AA49" s="660"/>
      <c r="AB49" s="271"/>
      <c r="AC49" s="271"/>
      <c r="AD49" s="271"/>
      <c r="AE49" s="660"/>
      <c r="AF49" s="662"/>
    </row>
    <row r="50" spans="1:32" ht="15.75" thickBot="1">
      <c r="A50" s="86" t="s">
        <v>85</v>
      </c>
      <c r="B50" s="657"/>
      <c r="C50" s="377" t="s">
        <v>11</v>
      </c>
      <c r="D50" s="377" t="s">
        <v>12</v>
      </c>
      <c r="E50" s="658" t="s">
        <v>13</v>
      </c>
      <c r="F50" s="148"/>
      <c r="G50" s="484" t="s">
        <v>11</v>
      </c>
      <c r="H50" s="485" t="s">
        <v>12</v>
      </c>
      <c r="I50" s="659" t="s">
        <v>13</v>
      </c>
      <c r="J50" s="640"/>
      <c r="K50" s="296" t="s">
        <v>86</v>
      </c>
      <c r="L50" s="296" t="s">
        <v>12</v>
      </c>
      <c r="M50" s="296" t="s">
        <v>13</v>
      </c>
      <c r="N50" s="292"/>
      <c r="O50" s="228" t="s">
        <v>11</v>
      </c>
      <c r="P50" s="229" t="s">
        <v>12</v>
      </c>
      <c r="Q50" s="229" t="s">
        <v>13</v>
      </c>
      <c r="R50" s="249"/>
      <c r="S50" s="16" t="s">
        <v>15</v>
      </c>
      <c r="T50" s="17" t="s">
        <v>12</v>
      </c>
      <c r="U50" s="18" t="s">
        <v>13</v>
      </c>
      <c r="V50" s="52"/>
      <c r="W50" s="271"/>
      <c r="X50" s="8" t="s">
        <v>15</v>
      </c>
      <c r="Y50" s="21" t="s">
        <v>12</v>
      </c>
      <c r="Z50" s="22" t="s">
        <v>13</v>
      </c>
      <c r="AA50" s="22"/>
      <c r="AB50" s="10"/>
      <c r="AC50" s="12" t="s">
        <v>15</v>
      </c>
      <c r="AD50" s="24" t="s">
        <v>12</v>
      </c>
      <c r="AE50" s="25" t="s">
        <v>13</v>
      </c>
      <c r="AF50" s="112"/>
    </row>
    <row r="51" spans="1:32">
      <c r="A51" s="468" t="s">
        <v>87</v>
      </c>
      <c r="B51" s="469" t="s">
        <v>88</v>
      </c>
      <c r="C51" s="469">
        <v>14</v>
      </c>
      <c r="D51" s="469">
        <v>14</v>
      </c>
      <c r="E51" s="632">
        <f t="shared" si="0"/>
        <v>1</v>
      </c>
      <c r="F51" s="469"/>
      <c r="G51" s="641">
        <v>13</v>
      </c>
      <c r="H51" s="641">
        <v>13</v>
      </c>
      <c r="I51" s="642">
        <f>H51/G51</f>
        <v>1</v>
      </c>
      <c r="J51" s="641"/>
      <c r="K51" s="294">
        <v>10</v>
      </c>
      <c r="L51" s="294">
        <v>10</v>
      </c>
      <c r="M51" s="415">
        <f t="shared" si="1"/>
        <v>1</v>
      </c>
      <c r="N51" s="294"/>
      <c r="O51" s="288"/>
      <c r="P51" s="289"/>
      <c r="Q51" s="289"/>
      <c r="R51" s="236"/>
      <c r="S51" s="285"/>
      <c r="T51" s="286"/>
      <c r="U51" s="53"/>
      <c r="V51" s="53"/>
      <c r="X51" s="50"/>
      <c r="Y51" s="213"/>
      <c r="Z51" s="55"/>
      <c r="AA51" s="55"/>
      <c r="AB51" s="26"/>
      <c r="AC51" s="287"/>
      <c r="AD51" s="215"/>
      <c r="AE51" s="216"/>
      <c r="AF51" s="216"/>
    </row>
    <row r="52" spans="1:32">
      <c r="A52" s="468" t="s">
        <v>89</v>
      </c>
      <c r="B52" s="469" t="s">
        <v>90</v>
      </c>
      <c r="C52" s="469">
        <v>2</v>
      </c>
      <c r="D52" s="469">
        <v>2</v>
      </c>
      <c r="E52" s="632">
        <f t="shared" si="0"/>
        <v>1</v>
      </c>
      <c r="F52" s="469"/>
      <c r="G52" s="641"/>
      <c r="H52" s="641"/>
      <c r="I52" s="642"/>
      <c r="J52" s="641"/>
      <c r="K52" s="294">
        <v>4</v>
      </c>
      <c r="L52" s="294">
        <v>4</v>
      </c>
      <c r="M52" s="415">
        <f t="shared" si="1"/>
        <v>1</v>
      </c>
      <c r="N52" s="294"/>
      <c r="O52" s="288"/>
      <c r="P52" s="289"/>
      <c r="Q52" s="289"/>
      <c r="R52" s="236"/>
      <c r="S52" s="285"/>
      <c r="T52" s="286"/>
      <c r="U52" s="53"/>
      <c r="V52" s="53"/>
      <c r="X52" s="50"/>
      <c r="Y52" s="213"/>
      <c r="Z52" s="55"/>
      <c r="AA52" s="55"/>
      <c r="AB52" s="26"/>
      <c r="AC52" s="287"/>
      <c r="AD52" s="215"/>
      <c r="AE52" s="216"/>
      <c r="AF52" s="216"/>
    </row>
    <row r="53" spans="1:32">
      <c r="A53" s="468" t="s">
        <v>91</v>
      </c>
      <c r="B53" s="469" t="s">
        <v>92</v>
      </c>
      <c r="C53" s="469">
        <v>18</v>
      </c>
      <c r="D53" s="469">
        <v>8</v>
      </c>
      <c r="E53" s="632">
        <f t="shared" si="0"/>
        <v>0.44444444444444442</v>
      </c>
      <c r="F53" s="469"/>
      <c r="G53" s="641">
        <v>10</v>
      </c>
      <c r="H53" s="641">
        <v>10</v>
      </c>
      <c r="I53" s="642">
        <f t="shared" ref="I53:I82" si="4">H53/G53</f>
        <v>1</v>
      </c>
      <c r="J53" s="641"/>
      <c r="K53" s="294">
        <v>13</v>
      </c>
      <c r="L53" s="294">
        <v>6</v>
      </c>
      <c r="M53" s="415">
        <f t="shared" si="1"/>
        <v>0.46153846153846156</v>
      </c>
      <c r="N53" s="294"/>
      <c r="O53" s="222">
        <v>13</v>
      </c>
      <c r="P53" s="251">
        <v>13</v>
      </c>
      <c r="Q53" s="251">
        <v>100</v>
      </c>
      <c r="R53" s="236"/>
      <c r="S53" s="28">
        <v>8</v>
      </c>
      <c r="T53" s="217">
        <v>6</v>
      </c>
      <c r="U53" s="170">
        <f>6/8</f>
        <v>0.75</v>
      </c>
      <c r="V53" s="53"/>
      <c r="X53" s="31" t="s">
        <v>93</v>
      </c>
      <c r="Y53" s="213"/>
      <c r="Z53" s="55"/>
      <c r="AA53" s="55"/>
      <c r="AB53" s="26"/>
      <c r="AC53" s="34" t="s">
        <v>93</v>
      </c>
      <c r="AD53" s="215"/>
      <c r="AE53" s="216"/>
      <c r="AF53" s="216"/>
    </row>
    <row r="54" spans="1:32">
      <c r="A54" s="470" t="s">
        <v>94</v>
      </c>
      <c r="B54" s="469" t="s">
        <v>95</v>
      </c>
      <c r="C54" s="469">
        <v>19</v>
      </c>
      <c r="D54" s="469">
        <v>18</v>
      </c>
      <c r="E54" s="632">
        <f t="shared" si="0"/>
        <v>0.94736842105263153</v>
      </c>
      <c r="F54" s="469"/>
      <c r="G54" s="641">
        <v>15</v>
      </c>
      <c r="H54" s="641">
        <v>15</v>
      </c>
      <c r="I54" s="642">
        <f t="shared" si="4"/>
        <v>1</v>
      </c>
      <c r="J54" s="641"/>
      <c r="K54" s="294">
        <v>20</v>
      </c>
      <c r="L54" s="294">
        <v>18</v>
      </c>
      <c r="M54" s="415">
        <f t="shared" si="1"/>
        <v>0.9</v>
      </c>
      <c r="N54" s="294"/>
      <c r="O54" s="222">
        <v>28</v>
      </c>
      <c r="P54" s="223">
        <v>27</v>
      </c>
      <c r="Q54" s="223">
        <v>96</v>
      </c>
      <c r="R54" s="224"/>
      <c r="S54" s="37">
        <v>26</v>
      </c>
      <c r="T54" s="37">
        <v>25</v>
      </c>
      <c r="U54" s="58">
        <v>0.96</v>
      </c>
      <c r="V54" s="87"/>
      <c r="W54" s="56"/>
      <c r="X54" s="38">
        <v>24</v>
      </c>
      <c r="Y54" s="38">
        <v>23</v>
      </c>
      <c r="Z54" s="43">
        <f>23/24</f>
        <v>0.95833333333333337</v>
      </c>
      <c r="AA54" s="43"/>
      <c r="AB54" s="2"/>
      <c r="AC54" s="40">
        <v>21</v>
      </c>
      <c r="AD54" s="40">
        <v>21</v>
      </c>
      <c r="AE54" s="35">
        <v>1</v>
      </c>
      <c r="AF54" s="270"/>
    </row>
    <row r="55" spans="1:32">
      <c r="A55" s="470" t="s">
        <v>96</v>
      </c>
      <c r="B55" s="469" t="s">
        <v>97</v>
      </c>
      <c r="C55" s="469">
        <v>21</v>
      </c>
      <c r="D55" s="469">
        <v>20</v>
      </c>
      <c r="E55" s="632">
        <f t="shared" si="0"/>
        <v>0.95238095238095233</v>
      </c>
      <c r="F55" s="469"/>
      <c r="G55" s="641">
        <v>18</v>
      </c>
      <c r="H55" s="641">
        <v>14</v>
      </c>
      <c r="I55" s="642">
        <f t="shared" si="4"/>
        <v>0.77777777777777779</v>
      </c>
      <c r="J55" s="641"/>
      <c r="K55" s="294">
        <v>25</v>
      </c>
      <c r="L55" s="294">
        <v>19</v>
      </c>
      <c r="M55" s="415">
        <f t="shared" si="1"/>
        <v>0.76</v>
      </c>
      <c r="N55" s="294"/>
      <c r="O55" s="222">
        <v>19</v>
      </c>
      <c r="P55" s="223">
        <v>17</v>
      </c>
      <c r="Q55" s="223">
        <v>89</v>
      </c>
      <c r="R55" s="224"/>
      <c r="S55" s="37">
        <v>26</v>
      </c>
      <c r="T55" s="37">
        <v>23</v>
      </c>
      <c r="U55" s="58">
        <f>23/26</f>
        <v>0.88461538461538458</v>
      </c>
      <c r="V55" s="87"/>
      <c r="W55" s="56"/>
      <c r="X55" s="38"/>
      <c r="Y55" s="38"/>
      <c r="Z55" s="43"/>
      <c r="AA55" s="43"/>
      <c r="AB55" s="2"/>
      <c r="AC55" s="140"/>
      <c r="AD55" s="40"/>
      <c r="AE55" s="35"/>
      <c r="AF55" s="198"/>
    </row>
    <row r="56" spans="1:32">
      <c r="A56" s="471" t="s">
        <v>98</v>
      </c>
      <c r="B56" s="471" t="s">
        <v>99</v>
      </c>
      <c r="C56" s="471"/>
      <c r="D56" s="471"/>
      <c r="E56" s="632"/>
      <c r="F56" s="471"/>
      <c r="G56" s="655">
        <v>26</v>
      </c>
      <c r="H56" s="655">
        <v>26</v>
      </c>
      <c r="I56" s="642">
        <f t="shared" si="4"/>
        <v>1</v>
      </c>
      <c r="J56" s="655"/>
      <c r="K56" s="300" t="s">
        <v>100</v>
      </c>
      <c r="L56" s="300"/>
      <c r="M56" s="415"/>
      <c r="N56" s="300"/>
      <c r="O56" s="232">
        <v>48</v>
      </c>
      <c r="P56" s="231">
        <v>44</v>
      </c>
      <c r="Q56" s="231">
        <v>91</v>
      </c>
      <c r="R56" s="233"/>
      <c r="S56" s="37" t="s">
        <v>93</v>
      </c>
      <c r="T56" s="37"/>
      <c r="U56" s="37"/>
      <c r="V56" s="87"/>
      <c r="W56" s="36"/>
      <c r="X56" s="38">
        <v>62</v>
      </c>
      <c r="Y56" s="38">
        <v>39</v>
      </c>
      <c r="Z56" s="43">
        <f>39/62</f>
        <v>0.62903225806451613</v>
      </c>
      <c r="AA56" s="43"/>
      <c r="AC56" s="141" t="s">
        <v>93</v>
      </c>
      <c r="AD56" s="34"/>
      <c r="AE56" s="59"/>
      <c r="AF56" s="197"/>
    </row>
    <row r="57" spans="1:32">
      <c r="A57" s="470" t="s">
        <v>101</v>
      </c>
      <c r="B57" s="469" t="s">
        <v>102</v>
      </c>
      <c r="C57" s="469">
        <v>37</v>
      </c>
      <c r="D57" s="469">
        <v>15</v>
      </c>
      <c r="E57" s="632">
        <f t="shared" si="0"/>
        <v>0.40540540540540543</v>
      </c>
      <c r="F57" s="469"/>
      <c r="G57" s="641">
        <v>47</v>
      </c>
      <c r="H57" s="641">
        <v>28</v>
      </c>
      <c r="I57" s="642">
        <f t="shared" si="4"/>
        <v>0.5957446808510638</v>
      </c>
      <c r="J57" s="641"/>
      <c r="K57" s="294">
        <v>47</v>
      </c>
      <c r="L57" s="294">
        <v>33</v>
      </c>
      <c r="M57" s="415">
        <f t="shared" si="1"/>
        <v>0.7021276595744681</v>
      </c>
      <c r="N57" s="294"/>
      <c r="O57" s="222">
        <v>40</v>
      </c>
      <c r="P57" s="223">
        <v>28</v>
      </c>
      <c r="Q57" s="223">
        <v>70</v>
      </c>
      <c r="R57" s="224"/>
      <c r="S57" s="164">
        <v>39</v>
      </c>
      <c r="T57" s="164">
        <v>18</v>
      </c>
      <c r="U57" s="58">
        <v>0.46</v>
      </c>
      <c r="V57" s="87"/>
      <c r="W57" s="56"/>
      <c r="X57" s="38">
        <v>40</v>
      </c>
      <c r="Y57" s="38">
        <v>26</v>
      </c>
      <c r="Z57" s="43">
        <f>26/40</f>
        <v>0.65</v>
      </c>
      <c r="AA57" s="43"/>
      <c r="AB57" s="2"/>
      <c r="AC57" s="140">
        <v>35</v>
      </c>
      <c r="AD57" s="40">
        <v>21</v>
      </c>
      <c r="AE57" s="35">
        <f>21/35</f>
        <v>0.6</v>
      </c>
      <c r="AF57" s="197"/>
    </row>
    <row r="58" spans="1:32">
      <c r="A58" s="470" t="s">
        <v>103</v>
      </c>
      <c r="B58" s="469" t="s">
        <v>52</v>
      </c>
      <c r="C58" s="469">
        <v>69</v>
      </c>
      <c r="D58" s="469">
        <v>40</v>
      </c>
      <c r="E58" s="632">
        <f t="shared" si="0"/>
        <v>0.57971014492753625</v>
      </c>
      <c r="F58" s="469"/>
      <c r="G58" s="641">
        <v>89</v>
      </c>
      <c r="H58" s="641">
        <v>64</v>
      </c>
      <c r="I58" s="642">
        <f t="shared" si="4"/>
        <v>0.7191011235955056</v>
      </c>
      <c r="J58" s="641"/>
      <c r="K58" s="294">
        <v>87</v>
      </c>
      <c r="L58" s="294">
        <v>69</v>
      </c>
      <c r="M58" s="415">
        <f t="shared" si="1"/>
        <v>0.7931034482758621</v>
      </c>
      <c r="N58" s="294"/>
      <c r="O58" s="222">
        <v>57</v>
      </c>
      <c r="P58" s="223">
        <v>45</v>
      </c>
      <c r="Q58" s="223">
        <v>78</v>
      </c>
      <c r="R58" s="224"/>
      <c r="S58" s="164">
        <v>47</v>
      </c>
      <c r="T58" s="164">
        <v>28</v>
      </c>
      <c r="U58" s="58">
        <v>0.59</v>
      </c>
      <c r="V58" s="87"/>
      <c r="W58" s="56"/>
      <c r="X58" s="38">
        <v>39</v>
      </c>
      <c r="Y58" s="38">
        <v>21</v>
      </c>
      <c r="Z58" s="43">
        <f>21/39</f>
        <v>0.53846153846153844</v>
      </c>
      <c r="AA58" s="43"/>
      <c r="AB58" s="2"/>
      <c r="AC58" s="140">
        <v>29</v>
      </c>
      <c r="AD58" s="40">
        <v>18</v>
      </c>
      <c r="AE58" s="35">
        <f>18/29</f>
        <v>0.62068965517241381</v>
      </c>
      <c r="AF58" s="197"/>
    </row>
    <row r="59" spans="1:32">
      <c r="A59" s="469" t="s">
        <v>104</v>
      </c>
      <c r="B59" s="469" t="s">
        <v>56</v>
      </c>
      <c r="C59" s="469">
        <v>50</v>
      </c>
      <c r="D59" s="469">
        <v>35</v>
      </c>
      <c r="E59" s="632">
        <f t="shared" si="0"/>
        <v>0.7</v>
      </c>
      <c r="F59" s="469"/>
      <c r="G59" s="641">
        <v>48</v>
      </c>
      <c r="H59" s="641">
        <v>35</v>
      </c>
      <c r="I59" s="642">
        <f t="shared" si="4"/>
        <v>0.72916666666666663</v>
      </c>
      <c r="J59" s="641"/>
      <c r="K59" s="294">
        <v>35</v>
      </c>
      <c r="L59" s="294">
        <v>25</v>
      </c>
      <c r="M59" s="415">
        <f t="shared" si="1"/>
        <v>0.7142857142857143</v>
      </c>
      <c r="N59" s="294"/>
      <c r="O59" s="222">
        <v>56</v>
      </c>
      <c r="P59" s="223">
        <v>42</v>
      </c>
      <c r="Q59" s="223">
        <v>75</v>
      </c>
      <c r="R59" s="224"/>
      <c r="S59" s="164">
        <v>71</v>
      </c>
      <c r="T59" s="164">
        <v>52</v>
      </c>
      <c r="U59" s="58">
        <v>0.73</v>
      </c>
      <c r="V59" s="87"/>
      <c r="W59" s="36"/>
      <c r="X59" s="38">
        <v>77</v>
      </c>
      <c r="Y59" s="38">
        <v>63</v>
      </c>
      <c r="Z59" s="43">
        <f>63/77</f>
        <v>0.81818181818181823</v>
      </c>
      <c r="AA59" s="43"/>
      <c r="AC59" s="140">
        <v>41</v>
      </c>
      <c r="AD59" s="40">
        <v>28</v>
      </c>
      <c r="AE59" s="35">
        <f>28/41</f>
        <v>0.68292682926829273</v>
      </c>
      <c r="AF59" s="197"/>
    </row>
    <row r="60" spans="1:32">
      <c r="A60" s="469" t="s">
        <v>105</v>
      </c>
      <c r="B60" s="469" t="s">
        <v>106</v>
      </c>
      <c r="C60" s="469">
        <v>88</v>
      </c>
      <c r="D60" s="469">
        <v>62</v>
      </c>
      <c r="E60" s="632">
        <f t="shared" si="0"/>
        <v>0.70454545454545459</v>
      </c>
      <c r="F60" s="469"/>
      <c r="G60" s="641">
        <v>50</v>
      </c>
      <c r="H60" s="641">
        <v>30</v>
      </c>
      <c r="I60" s="642">
        <f t="shared" si="4"/>
        <v>0.6</v>
      </c>
      <c r="J60" s="641"/>
      <c r="K60" s="294">
        <v>52</v>
      </c>
      <c r="L60" s="294">
        <v>39</v>
      </c>
      <c r="M60" s="415">
        <f t="shared" si="1"/>
        <v>0.75</v>
      </c>
      <c r="N60" s="294"/>
      <c r="O60" s="222"/>
      <c r="P60" s="223"/>
      <c r="Q60" s="223"/>
      <c r="R60" s="224"/>
      <c r="S60" s="37"/>
      <c r="T60" s="37"/>
      <c r="U60" s="41"/>
      <c r="V60" s="88"/>
      <c r="W60" s="177"/>
      <c r="X60" s="38"/>
      <c r="Y60" s="38"/>
      <c r="Z60" s="43"/>
      <c r="AA60" s="43"/>
      <c r="AC60" s="140"/>
      <c r="AD60" s="40"/>
      <c r="AE60" s="35"/>
      <c r="AF60" s="198"/>
    </row>
    <row r="61" spans="1:32">
      <c r="A61" s="472" t="s">
        <v>107</v>
      </c>
      <c r="B61" s="471" t="s">
        <v>108</v>
      </c>
      <c r="C61" s="471">
        <v>33</v>
      </c>
      <c r="D61" s="471">
        <v>15</v>
      </c>
      <c r="E61" s="632">
        <f t="shared" si="0"/>
        <v>0.45454545454545453</v>
      </c>
      <c r="F61" s="471"/>
      <c r="G61" s="655">
        <v>44</v>
      </c>
      <c r="H61" s="655">
        <v>26</v>
      </c>
      <c r="I61" s="642">
        <f t="shared" si="4"/>
        <v>0.59090909090909094</v>
      </c>
      <c r="J61" s="655"/>
      <c r="K61" s="300">
        <v>43</v>
      </c>
      <c r="L61" s="300">
        <v>30</v>
      </c>
      <c r="M61" s="415">
        <f t="shared" si="1"/>
        <v>0.69767441860465118</v>
      </c>
      <c r="N61" s="300"/>
      <c r="O61" s="232">
        <v>52</v>
      </c>
      <c r="P61" s="231">
        <v>33</v>
      </c>
      <c r="Q61" s="231">
        <v>63</v>
      </c>
      <c r="R61" s="233"/>
      <c r="S61" s="164">
        <v>45</v>
      </c>
      <c r="T61" s="164">
        <v>22</v>
      </c>
      <c r="U61" s="41">
        <f>22/45</f>
        <v>0.48888888888888887</v>
      </c>
      <c r="V61" s="88"/>
      <c r="W61" s="42"/>
      <c r="X61" s="38">
        <v>51</v>
      </c>
      <c r="Y61" s="38">
        <v>39</v>
      </c>
      <c r="Z61" s="43">
        <f>39/51</f>
        <v>0.76470588235294112</v>
      </c>
      <c r="AA61" s="43"/>
      <c r="AB61" s="2"/>
      <c r="AC61" s="140">
        <v>42</v>
      </c>
      <c r="AD61" s="40">
        <v>30</v>
      </c>
      <c r="AE61" s="35">
        <f>30/42</f>
        <v>0.7142857142857143</v>
      </c>
      <c r="AF61" s="198"/>
    </row>
    <row r="62" spans="1:32">
      <c r="A62" s="472" t="s">
        <v>109</v>
      </c>
      <c r="B62" s="471" t="s">
        <v>60</v>
      </c>
      <c r="C62" s="471">
        <v>41</v>
      </c>
      <c r="D62" s="471">
        <v>29</v>
      </c>
      <c r="E62" s="632">
        <f t="shared" si="0"/>
        <v>0.70731707317073167</v>
      </c>
      <c r="F62" s="471"/>
      <c r="G62" s="655">
        <v>46</v>
      </c>
      <c r="H62" s="655">
        <v>29</v>
      </c>
      <c r="I62" s="642">
        <f t="shared" si="4"/>
        <v>0.63043478260869568</v>
      </c>
      <c r="J62" s="655"/>
      <c r="K62" s="300">
        <v>43</v>
      </c>
      <c r="L62" s="300">
        <v>31</v>
      </c>
      <c r="M62" s="415">
        <f t="shared" si="1"/>
        <v>0.72093023255813948</v>
      </c>
      <c r="N62" s="300"/>
      <c r="O62" s="232"/>
      <c r="P62" s="231"/>
      <c r="Q62" s="231"/>
      <c r="R62" s="233"/>
      <c r="S62" s="164"/>
      <c r="T62" s="164"/>
      <c r="U62" s="41"/>
      <c r="V62" s="88"/>
      <c r="W62" s="42"/>
      <c r="X62" s="38"/>
      <c r="Y62" s="38"/>
      <c r="Z62" s="43"/>
      <c r="AA62" s="43"/>
      <c r="AB62" s="2"/>
      <c r="AC62" s="140"/>
      <c r="AD62" s="40"/>
      <c r="AE62" s="35"/>
      <c r="AF62" s="198"/>
    </row>
    <row r="63" spans="1:32">
      <c r="A63" s="470" t="s">
        <v>110</v>
      </c>
      <c r="B63" s="469" t="s">
        <v>111</v>
      </c>
      <c r="C63" s="469">
        <v>33</v>
      </c>
      <c r="D63" s="469">
        <v>24</v>
      </c>
      <c r="E63" s="632">
        <f t="shared" si="0"/>
        <v>0.72727272727272729</v>
      </c>
      <c r="F63" s="469"/>
      <c r="G63" s="641">
        <v>21</v>
      </c>
      <c r="H63" s="641">
        <v>14</v>
      </c>
      <c r="I63" s="642">
        <f t="shared" si="4"/>
        <v>0.66666666666666663</v>
      </c>
      <c r="J63" s="641"/>
      <c r="K63" s="294">
        <v>22</v>
      </c>
      <c r="L63" s="294">
        <v>13</v>
      </c>
      <c r="M63" s="415">
        <f t="shared" si="1"/>
        <v>0.59090909090909094</v>
      </c>
      <c r="N63" s="294"/>
      <c r="O63" s="222">
        <v>39</v>
      </c>
      <c r="P63" s="223">
        <v>24</v>
      </c>
      <c r="Q63" s="223">
        <v>61</v>
      </c>
      <c r="R63" s="224"/>
      <c r="S63" s="164">
        <v>32</v>
      </c>
      <c r="T63" s="164">
        <v>18</v>
      </c>
      <c r="U63" s="58">
        <v>0.56000000000000005</v>
      </c>
      <c r="V63" s="87"/>
      <c r="W63" s="56"/>
      <c r="X63" s="38">
        <v>40</v>
      </c>
      <c r="Y63" s="38">
        <v>29</v>
      </c>
      <c r="Z63" s="43">
        <f>29/40</f>
        <v>0.72499999999999998</v>
      </c>
      <c r="AA63" s="43"/>
      <c r="AB63" s="2"/>
      <c r="AC63" s="140">
        <v>25</v>
      </c>
      <c r="AD63" s="40">
        <v>14</v>
      </c>
      <c r="AE63" s="35">
        <f>14/25</f>
        <v>0.56000000000000005</v>
      </c>
      <c r="AF63" s="197"/>
    </row>
    <row r="64" spans="1:32">
      <c r="A64" s="470" t="s">
        <v>112</v>
      </c>
      <c r="B64" s="469" t="s">
        <v>113</v>
      </c>
      <c r="C64" s="469"/>
      <c r="D64" s="469"/>
      <c r="E64" s="632"/>
      <c r="F64" s="469"/>
      <c r="G64" s="641">
        <v>12</v>
      </c>
      <c r="H64" s="641">
        <v>8</v>
      </c>
      <c r="I64" s="642">
        <f t="shared" si="4"/>
        <v>0.66666666666666663</v>
      </c>
      <c r="J64" s="641"/>
      <c r="K64" s="294"/>
      <c r="L64" s="294"/>
      <c r="M64" s="415"/>
      <c r="N64" s="294"/>
      <c r="O64" s="222"/>
      <c r="P64" s="223"/>
      <c r="Q64" s="223"/>
      <c r="R64" s="224"/>
      <c r="S64" s="164"/>
      <c r="T64" s="164"/>
      <c r="U64" s="58"/>
      <c r="V64" s="87"/>
      <c r="W64" s="56"/>
      <c r="X64" s="38"/>
      <c r="Y64" s="38"/>
      <c r="Z64" s="43"/>
      <c r="AA64" s="43"/>
      <c r="AB64" s="2"/>
      <c r="AC64" s="140"/>
      <c r="AD64" s="40"/>
      <c r="AE64" s="35"/>
      <c r="AF64" s="197"/>
    </row>
    <row r="65" spans="1:32">
      <c r="A65" s="470" t="s">
        <v>114</v>
      </c>
      <c r="B65" s="469" t="s">
        <v>115</v>
      </c>
      <c r="C65" s="469">
        <v>29</v>
      </c>
      <c r="D65" s="469">
        <v>29</v>
      </c>
      <c r="E65" s="632">
        <f t="shared" si="0"/>
        <v>1</v>
      </c>
      <c r="F65" s="469"/>
      <c r="G65" s="641"/>
      <c r="H65" s="641"/>
      <c r="I65" s="642"/>
      <c r="J65" s="641"/>
      <c r="K65" s="294">
        <v>33</v>
      </c>
      <c r="L65" s="294">
        <v>28</v>
      </c>
      <c r="M65" s="415">
        <f t="shared" si="1"/>
        <v>0.84848484848484851</v>
      </c>
      <c r="N65" s="294"/>
      <c r="O65" s="222"/>
      <c r="P65" s="223"/>
      <c r="Q65" s="223"/>
      <c r="R65" s="224"/>
      <c r="S65" s="164"/>
      <c r="T65" s="164"/>
      <c r="U65" s="58"/>
      <c r="V65" s="87"/>
      <c r="W65" s="56"/>
      <c r="X65" s="38"/>
      <c r="Y65" s="38"/>
      <c r="Z65" s="43"/>
      <c r="AA65" s="43"/>
      <c r="AB65" s="2"/>
      <c r="AC65" s="140"/>
      <c r="AD65" s="40"/>
      <c r="AE65" s="35"/>
      <c r="AF65" s="197"/>
    </row>
    <row r="66" spans="1:32">
      <c r="A66" s="470" t="s">
        <v>116</v>
      </c>
      <c r="B66" s="469" t="s">
        <v>117</v>
      </c>
      <c r="C66" s="469">
        <v>21</v>
      </c>
      <c r="D66" s="469">
        <v>9</v>
      </c>
      <c r="E66" s="632">
        <f t="shared" si="0"/>
        <v>0.42857142857142855</v>
      </c>
      <c r="F66" s="469"/>
      <c r="G66" s="641">
        <v>30</v>
      </c>
      <c r="H66" s="641">
        <v>13</v>
      </c>
      <c r="I66" s="642">
        <f t="shared" si="4"/>
        <v>0.43333333333333335</v>
      </c>
      <c r="J66" s="641"/>
      <c r="K66" s="294">
        <v>33</v>
      </c>
      <c r="L66" s="294">
        <v>19</v>
      </c>
      <c r="M66" s="415">
        <f t="shared" si="1"/>
        <v>0.5757575757575758</v>
      </c>
      <c r="N66" s="294"/>
      <c r="O66" s="222"/>
      <c r="P66" s="223"/>
      <c r="Q66" s="223"/>
      <c r="R66" s="224"/>
      <c r="S66" s="164"/>
      <c r="T66" s="164"/>
      <c r="U66" s="58"/>
      <c r="V66" s="87"/>
      <c r="W66" s="56"/>
      <c r="X66" s="38"/>
      <c r="Y66" s="38"/>
      <c r="Z66" s="43"/>
      <c r="AA66" s="43"/>
      <c r="AB66" s="2"/>
      <c r="AC66" s="140"/>
      <c r="AD66" s="40"/>
      <c r="AE66" s="35"/>
      <c r="AF66" s="197"/>
    </row>
    <row r="67" spans="1:32">
      <c r="A67" s="470" t="s">
        <v>118</v>
      </c>
      <c r="B67" s="469" t="s">
        <v>119</v>
      </c>
      <c r="C67" s="469">
        <v>141</v>
      </c>
      <c r="D67" s="469">
        <v>100</v>
      </c>
      <c r="E67" s="632">
        <f t="shared" si="0"/>
        <v>0.70921985815602839</v>
      </c>
      <c r="F67" s="469"/>
      <c r="G67" s="641">
        <v>187</v>
      </c>
      <c r="H67" s="641">
        <v>165</v>
      </c>
      <c r="I67" s="642">
        <f t="shared" si="4"/>
        <v>0.88235294117647056</v>
      </c>
      <c r="J67" s="641"/>
      <c r="K67" s="294">
        <v>139</v>
      </c>
      <c r="L67" s="294">
        <v>112</v>
      </c>
      <c r="M67" s="415">
        <f t="shared" si="1"/>
        <v>0.80575539568345322</v>
      </c>
      <c r="N67" s="294"/>
      <c r="O67" s="222">
        <v>165</v>
      </c>
      <c r="P67" s="223">
        <v>128</v>
      </c>
      <c r="Q67" s="223">
        <v>77</v>
      </c>
      <c r="R67" s="224"/>
      <c r="S67" s="37">
        <v>212</v>
      </c>
      <c r="T67" s="37">
        <v>165</v>
      </c>
      <c r="U67" s="58">
        <v>0.78</v>
      </c>
      <c r="V67" s="87"/>
      <c r="W67" s="56"/>
      <c r="X67" s="38">
        <v>234</v>
      </c>
      <c r="Y67" s="38">
        <v>186</v>
      </c>
      <c r="Z67" s="43">
        <f>186/234</f>
        <v>0.79487179487179482</v>
      </c>
      <c r="AA67" s="193"/>
      <c r="AB67" s="2"/>
      <c r="AC67" s="140">
        <v>177</v>
      </c>
      <c r="AD67" s="40">
        <v>142</v>
      </c>
      <c r="AE67" s="35">
        <f>142/177</f>
        <v>0.80225988700564976</v>
      </c>
      <c r="AF67" s="198"/>
    </row>
    <row r="68" spans="1:32">
      <c r="A68" s="469" t="s">
        <v>120</v>
      </c>
      <c r="B68" s="469" t="s">
        <v>121</v>
      </c>
      <c r="C68" s="469">
        <v>37</v>
      </c>
      <c r="D68" s="469">
        <v>24</v>
      </c>
      <c r="E68" s="632">
        <f t="shared" si="0"/>
        <v>0.64864864864864868</v>
      </c>
      <c r="F68" s="469"/>
      <c r="G68" s="641">
        <v>56</v>
      </c>
      <c r="H68" s="641">
        <v>40</v>
      </c>
      <c r="I68" s="642">
        <f t="shared" si="4"/>
        <v>0.7142857142857143</v>
      </c>
      <c r="J68" s="641"/>
      <c r="K68" s="294">
        <v>67</v>
      </c>
      <c r="L68" s="294">
        <v>54</v>
      </c>
      <c r="M68" s="415">
        <f t="shared" si="1"/>
        <v>0.80597014925373134</v>
      </c>
      <c r="N68" s="294"/>
      <c r="O68" s="222">
        <v>67</v>
      </c>
      <c r="P68" s="223">
        <v>57</v>
      </c>
      <c r="Q68" s="223">
        <v>85</v>
      </c>
      <c r="R68" s="224"/>
      <c r="S68" s="37">
        <v>75</v>
      </c>
      <c r="T68" s="37">
        <v>55</v>
      </c>
      <c r="U68" s="91">
        <f>55/75</f>
        <v>0.73333333333333328</v>
      </c>
      <c r="V68" s="90"/>
      <c r="W68" s="194"/>
      <c r="X68" s="38">
        <v>90</v>
      </c>
      <c r="Y68" s="38">
        <v>67</v>
      </c>
      <c r="Z68" s="43">
        <f>67/90</f>
        <v>0.74444444444444446</v>
      </c>
      <c r="AA68" s="193"/>
      <c r="AC68" s="140">
        <v>68</v>
      </c>
      <c r="AD68" s="40">
        <v>53</v>
      </c>
      <c r="AE68" s="35">
        <f>53/68</f>
        <v>0.77941176470588236</v>
      </c>
      <c r="AF68" s="198"/>
    </row>
    <row r="69" spans="1:32">
      <c r="A69" s="469" t="s">
        <v>122</v>
      </c>
      <c r="B69" s="469" t="s">
        <v>66</v>
      </c>
      <c r="C69" s="469">
        <v>65</v>
      </c>
      <c r="D69" s="469">
        <v>59</v>
      </c>
      <c r="E69" s="632">
        <f t="shared" si="0"/>
        <v>0.90769230769230769</v>
      </c>
      <c r="F69" s="469"/>
      <c r="G69" s="641">
        <v>44</v>
      </c>
      <c r="H69" s="641">
        <v>41</v>
      </c>
      <c r="I69" s="642">
        <f t="shared" si="4"/>
        <v>0.93181818181818177</v>
      </c>
      <c r="J69" s="641"/>
      <c r="K69" s="294">
        <v>24</v>
      </c>
      <c r="L69" s="294">
        <v>23</v>
      </c>
      <c r="M69" s="415">
        <f t="shared" ref="M69:M102" si="5">L69/K69</f>
        <v>0.95833333333333337</v>
      </c>
      <c r="N69" s="294"/>
      <c r="O69" s="222"/>
      <c r="P69" s="223"/>
      <c r="Q69" s="223"/>
      <c r="R69" s="224"/>
      <c r="S69" s="37"/>
      <c r="T69" s="37"/>
      <c r="U69" s="91"/>
      <c r="V69" s="90"/>
      <c r="W69" s="194"/>
      <c r="X69" s="38"/>
      <c r="Y69" s="38"/>
      <c r="Z69" s="43"/>
      <c r="AA69" s="193"/>
      <c r="AC69" s="140"/>
      <c r="AD69" s="40"/>
      <c r="AE69" s="35"/>
      <c r="AF69" s="198"/>
    </row>
    <row r="70" spans="1:32">
      <c r="A70" s="469" t="s">
        <v>123</v>
      </c>
      <c r="B70" s="469" t="s">
        <v>124</v>
      </c>
      <c r="C70" s="469">
        <v>45</v>
      </c>
      <c r="D70" s="469">
        <v>44</v>
      </c>
      <c r="E70" s="632">
        <f t="shared" ref="E70:E110" si="6">D70/C70</f>
        <v>0.97777777777777775</v>
      </c>
      <c r="F70" s="469"/>
      <c r="G70" s="641">
        <v>47</v>
      </c>
      <c r="H70" s="641">
        <v>44</v>
      </c>
      <c r="I70" s="642">
        <f t="shared" si="4"/>
        <v>0.93617021276595747</v>
      </c>
      <c r="J70" s="641"/>
      <c r="K70" s="294">
        <v>42</v>
      </c>
      <c r="L70" s="294">
        <v>35</v>
      </c>
      <c r="M70" s="415">
        <f t="shared" si="5"/>
        <v>0.83333333333333337</v>
      </c>
      <c r="N70" s="294"/>
      <c r="O70" s="222">
        <v>41</v>
      </c>
      <c r="P70" s="223">
        <v>41</v>
      </c>
      <c r="Q70" s="223">
        <v>100</v>
      </c>
      <c r="R70" s="224"/>
      <c r="S70" s="37">
        <v>54</v>
      </c>
      <c r="T70" s="37">
        <v>36</v>
      </c>
      <c r="U70" s="41">
        <f>36/54</f>
        <v>0.66666666666666663</v>
      </c>
      <c r="V70" s="88"/>
      <c r="W70" s="177"/>
      <c r="X70" s="38">
        <v>63</v>
      </c>
      <c r="Y70" s="38">
        <v>47</v>
      </c>
      <c r="Z70" s="43">
        <f>47/63</f>
        <v>0.74603174603174605</v>
      </c>
      <c r="AA70" s="43"/>
      <c r="AC70" s="140">
        <v>52</v>
      </c>
      <c r="AD70" s="40">
        <v>43</v>
      </c>
      <c r="AE70" s="35">
        <f>43/52</f>
        <v>0.82692307692307687</v>
      </c>
      <c r="AF70" s="198"/>
    </row>
    <row r="71" spans="1:32">
      <c r="A71" s="472" t="s">
        <v>125</v>
      </c>
      <c r="B71" s="471" t="s">
        <v>68</v>
      </c>
      <c r="C71" s="471">
        <v>158</v>
      </c>
      <c r="D71" s="471">
        <v>118</v>
      </c>
      <c r="E71" s="632">
        <f t="shared" si="6"/>
        <v>0.74683544303797467</v>
      </c>
      <c r="F71" s="471"/>
      <c r="G71" s="655">
        <v>72</v>
      </c>
      <c r="H71" s="655">
        <v>51</v>
      </c>
      <c r="I71" s="642">
        <f t="shared" si="4"/>
        <v>0.70833333333333337</v>
      </c>
      <c r="J71" s="655"/>
      <c r="K71" s="300">
        <v>51</v>
      </c>
      <c r="L71" s="300">
        <v>40</v>
      </c>
      <c r="M71" s="415">
        <f t="shared" si="5"/>
        <v>0.78431372549019607</v>
      </c>
      <c r="N71" s="300"/>
      <c r="O71" s="232">
        <v>46</v>
      </c>
      <c r="P71" s="231">
        <v>28</v>
      </c>
      <c r="Q71" s="231">
        <v>60</v>
      </c>
      <c r="R71" s="233"/>
      <c r="S71" s="37">
        <v>87</v>
      </c>
      <c r="T71" s="37">
        <v>48</v>
      </c>
      <c r="U71" s="41">
        <f>48/87</f>
        <v>0.55172413793103448</v>
      </c>
      <c r="V71" s="88"/>
      <c r="W71" s="42"/>
      <c r="X71" s="38">
        <v>114</v>
      </c>
      <c r="Y71" s="38">
        <v>76</v>
      </c>
      <c r="Z71" s="43">
        <f>76/114</f>
        <v>0.66666666666666663</v>
      </c>
      <c r="AA71" s="43"/>
      <c r="AB71" s="2"/>
      <c r="AC71" s="140">
        <v>57</v>
      </c>
      <c r="AD71" s="40">
        <v>43</v>
      </c>
      <c r="AE71" s="35">
        <f>43/57</f>
        <v>0.75438596491228072</v>
      </c>
      <c r="AF71" s="198"/>
    </row>
    <row r="72" spans="1:32">
      <c r="A72" s="472" t="s">
        <v>126</v>
      </c>
      <c r="B72" s="471" t="s">
        <v>70</v>
      </c>
      <c r="C72" s="471">
        <v>25</v>
      </c>
      <c r="D72" s="471">
        <v>14</v>
      </c>
      <c r="E72" s="632">
        <f t="shared" si="6"/>
        <v>0.56000000000000005</v>
      </c>
      <c r="F72" s="471"/>
      <c r="G72" s="655">
        <v>27</v>
      </c>
      <c r="H72" s="655">
        <v>18</v>
      </c>
      <c r="I72" s="642">
        <f t="shared" si="4"/>
        <v>0.66666666666666663</v>
      </c>
      <c r="J72" s="655"/>
      <c r="K72" s="300">
        <v>15</v>
      </c>
      <c r="L72" s="300">
        <v>9</v>
      </c>
      <c r="M72" s="415">
        <f t="shared" si="5"/>
        <v>0.6</v>
      </c>
      <c r="N72" s="300"/>
      <c r="O72" s="232"/>
      <c r="P72" s="231"/>
      <c r="Q72" s="231"/>
      <c r="R72" s="233"/>
      <c r="S72" s="37"/>
      <c r="T72" s="37"/>
      <c r="U72" s="41"/>
      <c r="V72" s="88"/>
      <c r="W72" s="42"/>
      <c r="X72" s="38"/>
      <c r="Y72" s="38"/>
      <c r="Z72" s="43"/>
      <c r="AA72" s="43"/>
      <c r="AB72" s="2"/>
      <c r="AC72" s="140"/>
      <c r="AD72" s="40"/>
      <c r="AE72" s="35"/>
      <c r="AF72" s="198"/>
    </row>
    <row r="73" spans="1:32">
      <c r="A73" s="470" t="s">
        <v>127</v>
      </c>
      <c r="B73" s="469" t="s">
        <v>72</v>
      </c>
      <c r="C73" s="469">
        <v>51</v>
      </c>
      <c r="D73" s="469">
        <v>38</v>
      </c>
      <c r="E73" s="632">
        <f t="shared" si="6"/>
        <v>0.74509803921568629</v>
      </c>
      <c r="F73" s="469"/>
      <c r="G73" s="641">
        <v>76</v>
      </c>
      <c r="H73" s="641">
        <v>65</v>
      </c>
      <c r="I73" s="642">
        <f t="shared" si="4"/>
        <v>0.85526315789473684</v>
      </c>
      <c r="J73" s="641"/>
      <c r="K73" s="294">
        <v>58</v>
      </c>
      <c r="L73" s="294">
        <v>39</v>
      </c>
      <c r="M73" s="415">
        <f t="shared" si="5"/>
        <v>0.67241379310344829</v>
      </c>
      <c r="N73" s="294"/>
      <c r="O73" s="222">
        <v>70</v>
      </c>
      <c r="P73" s="223">
        <v>49</v>
      </c>
      <c r="Q73" s="223">
        <v>70</v>
      </c>
      <c r="R73" s="224"/>
      <c r="S73" s="37">
        <v>108</v>
      </c>
      <c r="T73" s="37">
        <v>70</v>
      </c>
      <c r="U73" s="58">
        <v>0.65</v>
      </c>
      <c r="V73" s="87"/>
      <c r="W73" s="56"/>
      <c r="X73" s="38">
        <v>80</v>
      </c>
      <c r="Y73" s="38">
        <v>54</v>
      </c>
      <c r="Z73" s="43">
        <f>54/80</f>
        <v>0.67500000000000004</v>
      </c>
      <c r="AA73" s="193"/>
      <c r="AB73" s="2"/>
      <c r="AC73" s="140">
        <v>49</v>
      </c>
      <c r="AD73" s="40">
        <v>30</v>
      </c>
      <c r="AE73" s="35">
        <f>30/49</f>
        <v>0.61224489795918369</v>
      </c>
      <c r="AF73" s="198"/>
    </row>
    <row r="74" spans="1:32">
      <c r="A74" s="470" t="s">
        <v>128</v>
      </c>
      <c r="B74" s="469" t="s">
        <v>129</v>
      </c>
      <c r="C74" s="469">
        <v>80</v>
      </c>
      <c r="D74" s="469">
        <v>57</v>
      </c>
      <c r="E74" s="632">
        <f t="shared" si="6"/>
        <v>0.71250000000000002</v>
      </c>
      <c r="F74" s="469"/>
      <c r="G74" s="641">
        <v>85</v>
      </c>
      <c r="H74" s="641">
        <v>70</v>
      </c>
      <c r="I74" s="642">
        <f t="shared" si="4"/>
        <v>0.82352941176470584</v>
      </c>
      <c r="J74" s="641"/>
      <c r="K74" s="294">
        <v>88</v>
      </c>
      <c r="L74" s="294">
        <v>65</v>
      </c>
      <c r="M74" s="415">
        <f t="shared" si="5"/>
        <v>0.73863636363636365</v>
      </c>
      <c r="N74" s="294"/>
      <c r="O74" s="222">
        <v>87</v>
      </c>
      <c r="P74" s="223">
        <v>61</v>
      </c>
      <c r="Q74" s="223">
        <v>70</v>
      </c>
      <c r="R74" s="224"/>
      <c r="S74" s="37" t="s">
        <v>130</v>
      </c>
      <c r="T74" s="37"/>
      <c r="U74" s="58"/>
      <c r="V74" s="87"/>
      <c r="W74" s="56"/>
      <c r="X74" s="38" t="s">
        <v>130</v>
      </c>
      <c r="Y74" s="38"/>
      <c r="Z74" s="43"/>
      <c r="AA74" s="193"/>
      <c r="AB74" s="2"/>
      <c r="AC74" s="140" t="s">
        <v>130</v>
      </c>
      <c r="AD74" s="40"/>
      <c r="AE74" s="35"/>
      <c r="AF74" s="198"/>
    </row>
    <row r="75" spans="1:32">
      <c r="A75" s="469" t="s">
        <v>131</v>
      </c>
      <c r="B75" s="471" t="s">
        <v>132</v>
      </c>
      <c r="C75" s="471">
        <v>36</v>
      </c>
      <c r="D75" s="471">
        <v>35</v>
      </c>
      <c r="E75" s="632">
        <f t="shared" si="6"/>
        <v>0.97222222222222221</v>
      </c>
      <c r="F75" s="471"/>
      <c r="G75" s="655"/>
      <c r="H75" s="655"/>
      <c r="I75" s="642"/>
      <c r="J75" s="655"/>
      <c r="K75" s="300"/>
      <c r="L75" s="300"/>
      <c r="M75" s="415"/>
      <c r="N75" s="300"/>
      <c r="O75" s="232"/>
      <c r="P75" s="231"/>
      <c r="Q75" s="231"/>
      <c r="R75" s="233"/>
      <c r="S75" s="37"/>
      <c r="T75" s="37"/>
      <c r="U75" s="58"/>
      <c r="V75" s="87"/>
      <c r="W75" s="36"/>
      <c r="X75" s="38"/>
      <c r="Y75" s="38"/>
      <c r="Z75" s="43"/>
      <c r="AA75" s="193"/>
      <c r="AC75" s="140"/>
      <c r="AD75" s="40"/>
      <c r="AE75" s="35"/>
      <c r="AF75" s="198"/>
    </row>
    <row r="76" spans="1:32">
      <c r="A76" s="469" t="s">
        <v>133</v>
      </c>
      <c r="B76" s="471" t="s">
        <v>134</v>
      </c>
      <c r="C76" s="471">
        <v>21</v>
      </c>
      <c r="D76" s="471">
        <v>13</v>
      </c>
      <c r="E76" s="632">
        <f t="shared" si="6"/>
        <v>0.61904761904761907</v>
      </c>
      <c r="F76" s="471"/>
      <c r="G76" s="655">
        <v>22</v>
      </c>
      <c r="H76" s="655">
        <v>16</v>
      </c>
      <c r="I76" s="642">
        <f t="shared" si="4"/>
        <v>0.72727272727272729</v>
      </c>
      <c r="J76" s="655"/>
      <c r="K76" s="300">
        <v>37</v>
      </c>
      <c r="L76" s="300">
        <v>26</v>
      </c>
      <c r="M76" s="415">
        <f t="shared" si="5"/>
        <v>0.70270270270270274</v>
      </c>
      <c r="N76" s="300"/>
      <c r="O76" s="232">
        <v>21</v>
      </c>
      <c r="P76" s="231">
        <v>8</v>
      </c>
      <c r="Q76" s="231">
        <v>38</v>
      </c>
      <c r="R76" s="233"/>
      <c r="S76" s="37">
        <v>34</v>
      </c>
      <c r="T76" s="37">
        <v>21</v>
      </c>
      <c r="U76" s="58">
        <v>0.62</v>
      </c>
      <c r="V76" s="87"/>
      <c r="W76" s="36"/>
      <c r="X76" s="38">
        <v>32</v>
      </c>
      <c r="Y76" s="38">
        <v>14</v>
      </c>
      <c r="Z76" s="43">
        <f>14/32</f>
        <v>0.4375</v>
      </c>
      <c r="AA76" s="193"/>
      <c r="AC76" s="140">
        <v>38</v>
      </c>
      <c r="AD76" s="40">
        <v>30</v>
      </c>
      <c r="AE76" s="35">
        <f>30/38</f>
        <v>0.78947368421052633</v>
      </c>
      <c r="AF76" s="198"/>
    </row>
    <row r="77" spans="1:32">
      <c r="A77" s="469" t="s">
        <v>135</v>
      </c>
      <c r="B77" s="469" t="s">
        <v>78</v>
      </c>
      <c r="C77" s="469">
        <v>58</v>
      </c>
      <c r="D77" s="469">
        <v>48</v>
      </c>
      <c r="E77" s="632">
        <f t="shared" si="6"/>
        <v>0.82758620689655171</v>
      </c>
      <c r="F77" s="469"/>
      <c r="G77" s="655">
        <v>43</v>
      </c>
      <c r="H77" s="655">
        <v>35</v>
      </c>
      <c r="I77" s="642">
        <f t="shared" si="4"/>
        <v>0.81395348837209303</v>
      </c>
      <c r="J77" s="641"/>
      <c r="K77" s="300">
        <v>34</v>
      </c>
      <c r="L77" s="300">
        <v>29</v>
      </c>
      <c r="M77" s="415">
        <f t="shared" si="5"/>
        <v>0.8529411764705882</v>
      </c>
      <c r="N77" s="294"/>
      <c r="O77" s="222">
        <v>88</v>
      </c>
      <c r="P77" s="223">
        <v>71</v>
      </c>
      <c r="Q77" s="223">
        <v>80</v>
      </c>
      <c r="R77" s="224"/>
      <c r="S77" s="37">
        <v>58</v>
      </c>
      <c r="T77" s="37">
        <v>39</v>
      </c>
      <c r="U77" s="58">
        <v>0.67</v>
      </c>
      <c r="V77" s="87"/>
      <c r="W77" s="36"/>
      <c r="X77" s="38">
        <v>55</v>
      </c>
      <c r="Y77" s="38">
        <v>38</v>
      </c>
      <c r="Z77" s="43">
        <f>38/55</f>
        <v>0.69090909090909092</v>
      </c>
      <c r="AA77" s="193"/>
      <c r="AC77" s="140">
        <v>44</v>
      </c>
      <c r="AD77" s="40">
        <v>36</v>
      </c>
      <c r="AE77" s="35">
        <f>36/44</f>
        <v>0.81818181818181823</v>
      </c>
      <c r="AF77" s="198"/>
    </row>
    <row r="78" spans="1:32">
      <c r="A78" s="470" t="s">
        <v>136</v>
      </c>
      <c r="B78" s="471" t="s">
        <v>137</v>
      </c>
      <c r="C78" s="471">
        <v>55</v>
      </c>
      <c r="D78" s="471">
        <v>25</v>
      </c>
      <c r="E78" s="632">
        <f t="shared" si="6"/>
        <v>0.45454545454545453</v>
      </c>
      <c r="F78" s="471"/>
      <c r="G78" s="655">
        <v>74</v>
      </c>
      <c r="H78" s="655">
        <v>53</v>
      </c>
      <c r="I78" s="642">
        <f t="shared" si="4"/>
        <v>0.71621621621621623</v>
      </c>
      <c r="J78" s="655"/>
      <c r="K78" s="300">
        <v>44</v>
      </c>
      <c r="L78" s="300">
        <v>34</v>
      </c>
      <c r="M78" s="415">
        <f t="shared" si="5"/>
        <v>0.77272727272727271</v>
      </c>
      <c r="N78" s="300"/>
      <c r="O78" s="232">
        <v>74</v>
      </c>
      <c r="P78" s="231">
        <v>58</v>
      </c>
      <c r="Q78" s="231">
        <v>78</v>
      </c>
      <c r="R78" s="233"/>
      <c r="S78" s="37">
        <v>63</v>
      </c>
      <c r="T78" s="37">
        <v>37</v>
      </c>
      <c r="U78" s="58">
        <v>0.59</v>
      </c>
      <c r="V78" s="87"/>
      <c r="W78" s="56"/>
      <c r="X78" s="38">
        <v>83</v>
      </c>
      <c r="Y78" s="38">
        <v>61</v>
      </c>
      <c r="Z78" s="43">
        <f>61/83</f>
        <v>0.73493975903614461</v>
      </c>
      <c r="AA78" s="193"/>
      <c r="AB78" s="2"/>
      <c r="AC78" s="140">
        <v>56</v>
      </c>
      <c r="AD78" s="40">
        <v>42</v>
      </c>
      <c r="AE78" s="35">
        <f>42/56</f>
        <v>0.75</v>
      </c>
      <c r="AF78" s="198"/>
    </row>
    <row r="79" spans="1:32">
      <c r="A79" s="469" t="s">
        <v>138</v>
      </c>
      <c r="B79" s="468" t="s">
        <v>139</v>
      </c>
      <c r="C79" s="468">
        <v>23</v>
      </c>
      <c r="D79" s="468">
        <v>20</v>
      </c>
      <c r="E79" s="632">
        <f t="shared" si="6"/>
        <v>0.86956521739130432</v>
      </c>
      <c r="F79" s="468"/>
      <c r="G79" s="483">
        <v>39</v>
      </c>
      <c r="H79" s="483">
        <v>28</v>
      </c>
      <c r="I79" s="642">
        <f t="shared" si="4"/>
        <v>0.71794871794871795</v>
      </c>
      <c r="J79" s="483"/>
      <c r="K79" s="301">
        <v>38</v>
      </c>
      <c r="L79" s="301">
        <v>20</v>
      </c>
      <c r="M79" s="415">
        <f t="shared" si="5"/>
        <v>0.52631578947368418</v>
      </c>
      <c r="N79" s="301"/>
      <c r="O79" s="225">
        <v>44</v>
      </c>
      <c r="P79" s="226">
        <v>32</v>
      </c>
      <c r="Q79" s="226">
        <v>73</v>
      </c>
      <c r="R79" s="227"/>
      <c r="S79" s="37">
        <v>46</v>
      </c>
      <c r="T79" s="37">
        <v>25</v>
      </c>
      <c r="U79" s="58">
        <v>0.54</v>
      </c>
      <c r="V79" s="87"/>
      <c r="W79" s="36"/>
      <c r="X79" s="38" t="s">
        <v>93</v>
      </c>
      <c r="Y79" s="38"/>
      <c r="Z79" s="43"/>
      <c r="AA79" s="193"/>
      <c r="AC79" s="140">
        <v>43</v>
      </c>
      <c r="AD79" s="40">
        <v>30</v>
      </c>
      <c r="AE79" s="35">
        <f>30/46</f>
        <v>0.65217391304347827</v>
      </c>
      <c r="AF79" s="198"/>
    </row>
    <row r="80" spans="1:32">
      <c r="A80" s="469" t="s">
        <v>140</v>
      </c>
      <c r="B80" s="471" t="s">
        <v>141</v>
      </c>
      <c r="C80" s="471">
        <v>44</v>
      </c>
      <c r="D80" s="471">
        <v>28</v>
      </c>
      <c r="E80" s="632">
        <f t="shared" si="6"/>
        <v>0.63636363636363635</v>
      </c>
      <c r="F80" s="471"/>
      <c r="G80" s="655">
        <v>50</v>
      </c>
      <c r="H80" s="655">
        <v>38</v>
      </c>
      <c r="I80" s="642">
        <f t="shared" si="4"/>
        <v>0.76</v>
      </c>
      <c r="J80" s="655"/>
      <c r="K80" s="300">
        <v>61</v>
      </c>
      <c r="L80" s="300">
        <v>51</v>
      </c>
      <c r="M80" s="415">
        <f t="shared" si="5"/>
        <v>0.83606557377049184</v>
      </c>
      <c r="N80" s="300"/>
      <c r="O80" s="232">
        <v>57</v>
      </c>
      <c r="P80" s="231">
        <v>35</v>
      </c>
      <c r="Q80" s="231">
        <v>61</v>
      </c>
      <c r="R80" s="233"/>
      <c r="S80" s="37">
        <v>53</v>
      </c>
      <c r="T80" s="37">
        <v>38</v>
      </c>
      <c r="U80" s="58">
        <v>0.72</v>
      </c>
      <c r="V80" s="87"/>
      <c r="W80" s="36"/>
      <c r="X80" s="38">
        <v>45</v>
      </c>
      <c r="Y80" s="38">
        <v>30</v>
      </c>
      <c r="Z80" s="43">
        <f>30/45</f>
        <v>0.66666666666666663</v>
      </c>
      <c r="AA80" s="193"/>
      <c r="AC80" s="140">
        <v>41</v>
      </c>
      <c r="AD80" s="40">
        <v>28</v>
      </c>
      <c r="AE80" s="35">
        <f>28/41</f>
        <v>0.68292682926829273</v>
      </c>
      <c r="AF80" s="198"/>
    </row>
    <row r="81" spans="1:34">
      <c r="A81" s="469" t="s">
        <v>142</v>
      </c>
      <c r="B81" s="471" t="s">
        <v>143</v>
      </c>
      <c r="C81" s="471">
        <v>62</v>
      </c>
      <c r="D81" s="471">
        <v>32</v>
      </c>
      <c r="E81" s="632">
        <f t="shared" si="6"/>
        <v>0.5161290322580645</v>
      </c>
      <c r="F81" s="471"/>
      <c r="G81" s="655">
        <v>93</v>
      </c>
      <c r="H81" s="655">
        <v>64</v>
      </c>
      <c r="I81" s="642">
        <f t="shared" si="4"/>
        <v>0.68817204301075274</v>
      </c>
      <c r="J81" s="655"/>
      <c r="K81" s="300">
        <v>76</v>
      </c>
      <c r="L81" s="300">
        <v>50</v>
      </c>
      <c r="M81" s="415">
        <f t="shared" si="5"/>
        <v>0.65789473684210531</v>
      </c>
      <c r="N81" s="300"/>
      <c r="O81" s="232">
        <v>77</v>
      </c>
      <c r="P81" s="231">
        <v>56</v>
      </c>
      <c r="Q81" s="231">
        <v>72</v>
      </c>
      <c r="R81" s="233"/>
      <c r="S81" s="37">
        <v>101</v>
      </c>
      <c r="T81" s="37">
        <v>58</v>
      </c>
      <c r="U81" s="58">
        <v>0.56999999999999995</v>
      </c>
      <c r="V81" s="87"/>
      <c r="W81" s="56"/>
      <c r="X81" s="38">
        <v>119</v>
      </c>
      <c r="Y81" s="38">
        <v>75</v>
      </c>
      <c r="Z81" s="43">
        <f>75/119</f>
        <v>0.63025210084033612</v>
      </c>
      <c r="AA81" s="193"/>
      <c r="AB81" s="2"/>
      <c r="AC81" s="140">
        <v>92</v>
      </c>
      <c r="AD81" s="40">
        <v>65</v>
      </c>
      <c r="AE81" s="35">
        <f>65/92</f>
        <v>0.70652173913043481</v>
      </c>
      <c r="AF81" s="198"/>
    </row>
    <row r="82" spans="1:34" ht="15.75" thickBot="1">
      <c r="A82" s="469" t="s">
        <v>144</v>
      </c>
      <c r="B82" s="471" t="s">
        <v>145</v>
      </c>
      <c r="C82" s="471">
        <v>68</v>
      </c>
      <c r="D82" s="471">
        <v>32</v>
      </c>
      <c r="E82" s="632">
        <f t="shared" si="6"/>
        <v>0.47058823529411764</v>
      </c>
      <c r="F82" s="471"/>
      <c r="G82" s="655">
        <v>49</v>
      </c>
      <c r="H82" s="655">
        <v>32</v>
      </c>
      <c r="I82" s="642">
        <f t="shared" si="4"/>
        <v>0.65306122448979587</v>
      </c>
      <c r="J82" s="655"/>
      <c r="K82" s="300">
        <v>41</v>
      </c>
      <c r="L82" s="300">
        <v>28</v>
      </c>
      <c r="M82" s="415">
        <f t="shared" si="5"/>
        <v>0.68292682926829273</v>
      </c>
      <c r="N82" s="300"/>
      <c r="O82" s="232">
        <v>52</v>
      </c>
      <c r="P82" s="231">
        <v>29</v>
      </c>
      <c r="Q82" s="231">
        <v>55</v>
      </c>
      <c r="R82" s="233"/>
      <c r="S82" s="37">
        <v>63</v>
      </c>
      <c r="T82" s="173">
        <v>42</v>
      </c>
      <c r="U82" s="195">
        <f>42/63</f>
        <v>0.66666666666666663</v>
      </c>
      <c r="V82" s="196"/>
      <c r="W82" s="92"/>
      <c r="X82" s="38">
        <v>77</v>
      </c>
      <c r="Y82" s="38">
        <v>56</v>
      </c>
      <c r="Z82" s="43">
        <f>56/77</f>
        <v>0.72727272727272729</v>
      </c>
      <c r="AA82" s="89"/>
      <c r="AB82" s="2"/>
      <c r="AC82" s="199" t="s">
        <v>93</v>
      </c>
      <c r="AD82" s="162"/>
      <c r="AE82" s="161"/>
      <c r="AF82" s="200"/>
    </row>
    <row r="83" spans="1:34" ht="15.75" thickBot="1">
      <c r="A83" s="60"/>
      <c r="B83" s="636"/>
      <c r="C83" s="473">
        <f>SUM(C51:C82)</f>
        <v>1444</v>
      </c>
      <c r="D83" s="151">
        <f>SUM(D51:D82)</f>
        <v>1007</v>
      </c>
      <c r="E83" s="635">
        <f t="shared" si="6"/>
        <v>0.69736842105263153</v>
      </c>
      <c r="F83" s="636"/>
      <c r="G83" s="481">
        <f>SUM(G51:G82)</f>
        <v>1433</v>
      </c>
      <c r="H83" s="481">
        <f>SUM(H51:H82)</f>
        <v>1085</v>
      </c>
      <c r="I83" s="656">
        <f>H83/G83</f>
        <v>0.7571528262386602</v>
      </c>
      <c r="J83" s="481"/>
      <c r="K83" s="309">
        <f>SUM(K51:K82)</f>
        <v>1282</v>
      </c>
      <c r="L83" s="305">
        <f>SUM(L51:L82)</f>
        <v>959</v>
      </c>
      <c r="M83" s="416">
        <f>L83/K83</f>
        <v>0.74804992199687992</v>
      </c>
      <c r="N83" s="310"/>
      <c r="O83" s="234">
        <f>SUM(O53:O82)</f>
        <v>1241</v>
      </c>
      <c r="P83" s="234">
        <f>SUM(P53:P82)</f>
        <v>926</v>
      </c>
      <c r="Q83" s="252">
        <v>0.75</v>
      </c>
      <c r="R83" s="235"/>
      <c r="S83" s="93">
        <f>SUM(S54:S82)</f>
        <v>1240</v>
      </c>
      <c r="T83" s="93">
        <f>SUM(T54:T82)</f>
        <v>820</v>
      </c>
      <c r="U83" s="5">
        <f>1041/1536</f>
        <v>0.677734375</v>
      </c>
      <c r="V83" s="61"/>
      <c r="W83" s="6"/>
      <c r="X83" s="8">
        <f>SUM(X54:X82)</f>
        <v>1325</v>
      </c>
      <c r="Y83" s="8">
        <f>SUM(Y54:Y82)</f>
        <v>944</v>
      </c>
      <c r="Z83" s="9">
        <f>1360/1904</f>
        <v>0.7142857142857143</v>
      </c>
      <c r="AA83" s="9"/>
      <c r="AB83" s="10"/>
      <c r="AC83" s="23">
        <v>1274</v>
      </c>
      <c r="AD83" s="12">
        <v>959</v>
      </c>
      <c r="AE83" s="13">
        <f>959/1274</f>
        <v>0.75274725274725274</v>
      </c>
      <c r="AF83" s="95"/>
    </row>
    <row r="84" spans="1:34" ht="15.75" thickBot="1">
      <c r="A84" s="36"/>
      <c r="B84" s="48"/>
      <c r="C84" s="48"/>
      <c r="D84" s="48"/>
      <c r="E84" s="632"/>
      <c r="F84" s="48"/>
      <c r="G84" s="48"/>
      <c r="H84" s="48"/>
      <c r="I84" s="48"/>
      <c r="J84" s="48"/>
      <c r="K84" s="48"/>
      <c r="L84" s="48"/>
      <c r="M84" s="290"/>
      <c r="N84" s="48"/>
      <c r="O84" s="48"/>
      <c r="P84" s="48"/>
      <c r="Q84" s="48"/>
      <c r="R84" s="48"/>
      <c r="S84" s="48"/>
      <c r="T84" s="48"/>
      <c r="U84" s="62"/>
      <c r="V84" s="62"/>
      <c r="W84" s="62"/>
      <c r="X84" s="48"/>
      <c r="Y84" s="48"/>
      <c r="Z84" s="62"/>
      <c r="AA84" s="62"/>
      <c r="AB84" s="3"/>
      <c r="AC84" s="3"/>
      <c r="AD84" s="3"/>
      <c r="AE84" s="62"/>
      <c r="AF84" s="62"/>
    </row>
    <row r="85" spans="1:34">
      <c r="A85" s="63" t="s">
        <v>81</v>
      </c>
      <c r="B85" s="261" t="s">
        <v>82</v>
      </c>
      <c r="C85" s="261">
        <f>C55+C59+C60+C62+C65+C68+C69+C70+C74+C75+C76+C77+C79+C80</f>
        <v>638</v>
      </c>
      <c r="D85" s="261">
        <f>D55+D59+D60+D62+D65+D68+D69+D70+D74+D75+D76+D77+D79+D80</f>
        <v>503</v>
      </c>
      <c r="E85" s="663">
        <f t="shared" si="6"/>
        <v>0.78840125391849525</v>
      </c>
      <c r="F85" s="664"/>
      <c r="G85" s="490">
        <f>G55+G56+G59+G60+G62+G68+G69+G69+G69+G70+G74+G75+G76+G77+G79+G80</f>
        <v>662</v>
      </c>
      <c r="H85" s="490">
        <f>H55+H56+H59+H60+H62+H68+H69+H70+H74+H75+H76+H77+H79+H80</f>
        <v>446</v>
      </c>
      <c r="I85" s="647">
        <f>H85/G85</f>
        <v>0.6737160120845922</v>
      </c>
      <c r="J85" s="490"/>
      <c r="K85" s="359">
        <f>K55+K59+K60+K62+K65+K68+K69+K70+K74+K75+K76+K77+K79+K80</f>
        <v>579</v>
      </c>
      <c r="L85" s="302">
        <f>L55+L59+L60+L62+L65+L68+L69+L70+L74+L75+L76+L77+L79+L80</f>
        <v>445</v>
      </c>
      <c r="M85" s="417">
        <f>L85/K85</f>
        <v>0.76856649395509502</v>
      </c>
      <c r="N85" s="361"/>
      <c r="O85" s="257">
        <v>734</v>
      </c>
      <c r="P85" s="257">
        <v>574</v>
      </c>
      <c r="Q85" s="268">
        <v>0.78</v>
      </c>
      <c r="R85" s="258"/>
      <c r="S85" s="65">
        <v>566</v>
      </c>
      <c r="T85" s="65">
        <v>431</v>
      </c>
      <c r="U85" s="66">
        <f>431/566</f>
        <v>0.7614840989399293</v>
      </c>
      <c r="V85" s="66"/>
      <c r="W85" s="67"/>
      <c r="X85" s="68">
        <v>702</v>
      </c>
      <c r="Y85" s="68">
        <v>489</v>
      </c>
      <c r="Z85" s="69">
        <f>489/702</f>
        <v>0.69658119658119655</v>
      </c>
      <c r="AA85" s="69"/>
      <c r="AB85" s="70"/>
      <c r="AC85" s="71">
        <v>524</v>
      </c>
      <c r="AD85" s="71">
        <v>405</v>
      </c>
      <c r="AE85" s="72">
        <f>405/524</f>
        <v>0.77290076335877866</v>
      </c>
      <c r="AF85" s="115"/>
    </row>
    <row r="86" spans="1:34" ht="15.75" thickBot="1">
      <c r="A86" s="73" t="s">
        <v>146</v>
      </c>
      <c r="B86" s="255" t="s">
        <v>84</v>
      </c>
      <c r="C86" s="255">
        <f>C51+C52+C53+C54+C57+C58+C61+C63+C66+C67+C71+C72+C73+C78+C81+C82</f>
        <v>806</v>
      </c>
      <c r="D86" s="255">
        <f>D51+D52+D53+D54+D57+D58+D61+D63+D66+D67+D71+D72+D73+D78+D81+D82</f>
        <v>504</v>
      </c>
      <c r="E86" s="665">
        <f t="shared" si="6"/>
        <v>0.62531017369727049</v>
      </c>
      <c r="F86" s="666"/>
      <c r="G86" s="597">
        <f>G51+G53+G54+G57+G58+G61+G63+G64+G66+G67+G71+G72+G73+G78+G81+G82</f>
        <v>859</v>
      </c>
      <c r="H86" s="597">
        <f>H51+H53+H54+H57+H58+H61+H64+H66+H67+H71+H72+H73+H78+H81+H82</f>
        <v>625</v>
      </c>
      <c r="I86" s="648">
        <f>H86/G86</f>
        <v>0.72759022118742722</v>
      </c>
      <c r="J86" s="597"/>
      <c r="K86" s="315">
        <f>K51+K52+K53+K54+K57+K58+K61+K63+K66+K67+K71+K72+K73+K78+K81+K82</f>
        <v>703</v>
      </c>
      <c r="L86" s="297">
        <f>L51+L52+L53+L54+L57+L58+L61+L63+L66+L67+L71+L72+L73+L78+L81+L82</f>
        <v>514</v>
      </c>
      <c r="M86" s="418">
        <f>L86/K86</f>
        <v>0.73115220483641541</v>
      </c>
      <c r="N86" s="362"/>
      <c r="O86" s="259">
        <v>828</v>
      </c>
      <c r="P86" s="259">
        <v>608</v>
      </c>
      <c r="Q86" s="269">
        <v>0.73</v>
      </c>
      <c r="R86" s="260"/>
      <c r="S86" s="75">
        <v>970</v>
      </c>
      <c r="T86" s="75">
        <v>610</v>
      </c>
      <c r="U86" s="76">
        <f>610/970</f>
        <v>0.62886597938144329</v>
      </c>
      <c r="V86" s="76"/>
      <c r="W86" s="77"/>
      <c r="X86" s="96">
        <v>1203</v>
      </c>
      <c r="Y86" s="96">
        <v>872</v>
      </c>
      <c r="Z86" s="97">
        <f>872/1203</f>
        <v>0.7248545303408146</v>
      </c>
      <c r="AA86" s="79"/>
      <c r="AB86" s="80"/>
      <c r="AC86" s="81">
        <v>750</v>
      </c>
      <c r="AD86" s="81">
        <v>554</v>
      </c>
      <c r="AE86" s="82">
        <f>554/750</f>
        <v>0.73866666666666669</v>
      </c>
      <c r="AF86" s="116"/>
    </row>
    <row r="87" spans="1:34" ht="15.75" thickBot="1">
      <c r="A87" s="48"/>
      <c r="B87" s="48"/>
      <c r="C87" s="48"/>
      <c r="D87" s="48"/>
      <c r="E87" s="632"/>
      <c r="F87" s="48"/>
      <c r="G87" s="48"/>
      <c r="H87" s="48"/>
      <c r="I87" s="48"/>
      <c r="J87" s="48"/>
      <c r="K87" s="48"/>
      <c r="L87" s="48"/>
      <c r="M87" s="290"/>
      <c r="N87" s="48"/>
      <c r="O87" s="48"/>
      <c r="P87" s="48"/>
      <c r="Q87" s="48"/>
      <c r="R87" s="48"/>
      <c r="S87" s="3"/>
      <c r="T87" s="3"/>
      <c r="U87" s="62"/>
      <c r="V87" s="62"/>
      <c r="W87" s="62"/>
      <c r="X87" s="98"/>
      <c r="Y87" s="98"/>
      <c r="Z87" s="99"/>
      <c r="AA87" s="62"/>
      <c r="AB87" s="3"/>
      <c r="AC87" s="3"/>
      <c r="AD87" s="3"/>
      <c r="AE87" s="62"/>
    </row>
    <row r="88" spans="1:34">
      <c r="A88" s="63" t="s">
        <v>147</v>
      </c>
      <c r="B88" s="100"/>
      <c r="C88" s="100"/>
      <c r="D88" s="100">
        <f>D43</f>
        <v>717</v>
      </c>
      <c r="E88" s="668"/>
      <c r="F88" s="401"/>
      <c r="G88" s="667"/>
      <c r="H88" s="667">
        <f>H43</f>
        <v>796</v>
      </c>
      <c r="I88" s="667"/>
      <c r="J88" s="667"/>
      <c r="K88" s="372"/>
      <c r="L88" s="299">
        <f>L46+L47</f>
        <v>645</v>
      </c>
      <c r="M88" s="368"/>
      <c r="N88" s="369"/>
      <c r="O88" s="243"/>
      <c r="P88" s="101">
        <v>551</v>
      </c>
      <c r="Q88" s="243"/>
      <c r="R88" s="243"/>
      <c r="S88" s="101"/>
      <c r="T88" s="101">
        <v>589</v>
      </c>
      <c r="U88" s="102"/>
      <c r="V88" s="102"/>
      <c r="W88" s="102"/>
      <c r="X88" s="103"/>
      <c r="Y88" s="103">
        <v>563</v>
      </c>
      <c r="Z88" s="104"/>
      <c r="AA88" s="102"/>
      <c r="AB88" s="101"/>
      <c r="AC88" s="101"/>
      <c r="AD88" s="101">
        <v>517</v>
      </c>
      <c r="AE88" s="105"/>
      <c r="AH88" s="272"/>
    </row>
    <row r="89" spans="1:34">
      <c r="A89" s="370" t="s">
        <v>148</v>
      </c>
      <c r="B89" s="669"/>
      <c r="C89" s="669"/>
      <c r="D89" s="669">
        <f>D83</f>
        <v>1007</v>
      </c>
      <c r="E89" s="670"/>
      <c r="F89" s="671"/>
      <c r="G89" s="641"/>
      <c r="H89" s="641">
        <f>H83</f>
        <v>1085</v>
      </c>
      <c r="I89" s="641"/>
      <c r="J89" s="641"/>
      <c r="K89" s="373"/>
      <c r="L89" s="376">
        <f>L85+L86</f>
        <v>959</v>
      </c>
      <c r="M89" s="293"/>
      <c r="N89" s="371"/>
      <c r="O89" s="31"/>
      <c r="P89" s="50">
        <v>1137</v>
      </c>
      <c r="Q89" s="31"/>
      <c r="R89" s="31"/>
      <c r="S89" s="31"/>
      <c r="T89" s="50">
        <v>1041</v>
      </c>
      <c r="U89" s="31"/>
      <c r="V89" s="31"/>
      <c r="W89" s="31"/>
      <c r="X89" s="31"/>
      <c r="Y89" s="50">
        <v>1361</v>
      </c>
      <c r="Z89" s="31"/>
      <c r="AA89" s="31"/>
      <c r="AB89" s="31"/>
      <c r="AC89" s="31"/>
      <c r="AD89" s="50">
        <v>959</v>
      </c>
      <c r="AE89" s="33"/>
    </row>
    <row r="90" spans="1:34">
      <c r="A90" s="370" t="s">
        <v>149</v>
      </c>
      <c r="B90" s="669"/>
      <c r="C90" s="669"/>
      <c r="D90" s="669">
        <f>D88+D89</f>
        <v>1724</v>
      </c>
      <c r="E90" s="670"/>
      <c r="F90" s="671"/>
      <c r="G90" s="641"/>
      <c r="H90" s="641">
        <f>H89+H88</f>
        <v>1881</v>
      </c>
      <c r="I90" s="641"/>
      <c r="J90" s="641"/>
      <c r="K90" s="373"/>
      <c r="L90" s="376">
        <f>L88+L89</f>
        <v>1604</v>
      </c>
      <c r="M90" s="293"/>
      <c r="N90" s="371"/>
      <c r="O90" s="106"/>
      <c r="P90" s="107">
        <f>SUM(P88:P89)</f>
        <v>1688</v>
      </c>
      <c r="Q90" s="106"/>
      <c r="R90" s="106"/>
      <c r="S90" s="106"/>
      <c r="T90" s="107">
        <f>SUM(T88:T89)</f>
        <v>1630</v>
      </c>
      <c r="U90" s="106"/>
      <c r="V90" s="106"/>
      <c r="W90" s="106"/>
      <c r="X90" s="106"/>
      <c r="Y90" s="107">
        <f>SUM(Y88:Y89)</f>
        <v>1924</v>
      </c>
      <c r="Z90" s="106"/>
      <c r="AA90" s="106"/>
      <c r="AB90" s="106"/>
      <c r="AC90" s="106"/>
      <c r="AD90" s="107">
        <f>SUM(AD88:AD89)</f>
        <v>1476</v>
      </c>
      <c r="AE90" s="108"/>
    </row>
    <row r="91" spans="1:34" ht="15.75" thickBot="1">
      <c r="A91" s="73" t="s">
        <v>150</v>
      </c>
      <c r="B91" s="253"/>
      <c r="C91" s="253"/>
      <c r="D91" s="253">
        <f>D23</f>
        <v>2504</v>
      </c>
      <c r="E91" s="672"/>
      <c r="F91" s="673"/>
      <c r="G91" s="641"/>
      <c r="H91" s="641">
        <f>H23</f>
        <v>2418</v>
      </c>
      <c r="I91" s="641"/>
      <c r="J91" s="641"/>
      <c r="K91" s="374"/>
      <c r="L91" s="304">
        <f>L23</f>
        <v>2283</v>
      </c>
      <c r="M91" s="298"/>
      <c r="N91" s="375"/>
      <c r="O91" s="123"/>
      <c r="P91" s="136">
        <v>2091</v>
      </c>
      <c r="Q91" s="123"/>
      <c r="R91" s="123"/>
      <c r="S91" s="123"/>
      <c r="T91" s="136">
        <v>2379</v>
      </c>
      <c r="U91" s="123"/>
      <c r="V91" s="123"/>
      <c r="W91" s="123"/>
      <c r="X91" s="123"/>
      <c r="Y91" s="136">
        <v>2561</v>
      </c>
      <c r="Z91" s="123"/>
      <c r="AA91" s="123"/>
      <c r="AB91" s="123"/>
      <c r="AC91" s="123"/>
      <c r="AD91" s="136">
        <v>2290</v>
      </c>
      <c r="AE91" s="127"/>
    </row>
    <row r="92" spans="1:34" ht="15.75" thickBot="1">
      <c r="A92" s="86" t="s">
        <v>151</v>
      </c>
      <c r="B92" s="377"/>
      <c r="C92" s="377"/>
      <c r="D92" s="377">
        <f>D90+D91</f>
        <v>4228</v>
      </c>
      <c r="E92" s="639"/>
      <c r="F92" s="379"/>
      <c r="G92" s="14"/>
      <c r="H92" s="377">
        <f>H90+H91</f>
        <v>4299</v>
      </c>
      <c r="I92" s="377"/>
      <c r="J92" s="379"/>
      <c r="K92" s="14"/>
      <c r="L92" s="377">
        <f>L90+L91</f>
        <v>3887</v>
      </c>
      <c r="M92" s="378"/>
      <c r="N92" s="379"/>
      <c r="O92" s="218"/>
      <c r="P92" s="218">
        <v>3779</v>
      </c>
      <c r="Q92" s="218"/>
      <c r="R92" s="254"/>
      <c r="S92" s="218"/>
      <c r="T92" s="255">
        <v>4495</v>
      </c>
      <c r="U92" s="255"/>
      <c r="V92" s="255"/>
      <c r="W92" s="218"/>
      <c r="X92" s="218"/>
      <c r="Y92" s="218">
        <v>4485</v>
      </c>
      <c r="Z92" s="253"/>
      <c r="AA92" s="218"/>
      <c r="AB92" s="218"/>
      <c r="AC92" s="218"/>
      <c r="AD92" s="254">
        <v>3766</v>
      </c>
      <c r="AE92" s="256"/>
    </row>
    <row r="93" spans="1:34" ht="15.75" thickBot="1">
      <c r="A93" s="48"/>
      <c r="B93" s="3"/>
      <c r="C93" s="3"/>
      <c r="D93" s="3"/>
      <c r="E93" s="632"/>
      <c r="F93" s="3"/>
      <c r="G93" s="3"/>
      <c r="H93" s="3"/>
      <c r="I93" s="3"/>
      <c r="J93" s="3"/>
      <c r="K93" s="3"/>
      <c r="L93" s="3"/>
      <c r="M93" s="290"/>
      <c r="N93" s="3"/>
      <c r="O93" s="3"/>
      <c r="P93" s="3"/>
      <c r="Q93" s="3"/>
      <c r="R93" s="3"/>
      <c r="S93" s="3"/>
      <c r="T93" s="3"/>
      <c r="U93" s="48"/>
      <c r="V93" s="48"/>
      <c r="W93" s="3"/>
      <c r="X93" s="3"/>
      <c r="Y93" s="3"/>
      <c r="Z93" s="3"/>
      <c r="AA93" s="3"/>
      <c r="AB93" s="3"/>
      <c r="AC93" s="3"/>
      <c r="AD93" s="3"/>
      <c r="AE93" s="3"/>
    </row>
    <row r="94" spans="1:34">
      <c r="A94" s="63" t="s">
        <v>152</v>
      </c>
      <c r="B94" s="380"/>
      <c r="C94" s="63" t="s">
        <v>11</v>
      </c>
      <c r="D94" s="261" t="s">
        <v>12</v>
      </c>
      <c r="E94" s="663" t="s">
        <v>13</v>
      </c>
      <c r="F94" s="664"/>
      <c r="G94" s="490" t="s">
        <v>11</v>
      </c>
      <c r="H94" s="490" t="s">
        <v>12</v>
      </c>
      <c r="I94" s="490" t="s">
        <v>13</v>
      </c>
      <c r="J94" s="490"/>
      <c r="K94" s="359" t="s">
        <v>153</v>
      </c>
      <c r="L94" s="302" t="s">
        <v>12</v>
      </c>
      <c r="M94" s="360" t="s">
        <v>154</v>
      </c>
      <c r="N94" s="302"/>
      <c r="O94" s="381" t="s">
        <v>153</v>
      </c>
      <c r="P94" s="382" t="s">
        <v>12</v>
      </c>
      <c r="Q94" s="383" t="s">
        <v>154</v>
      </c>
      <c r="R94" s="382"/>
      <c r="S94" s="387" t="s">
        <v>153</v>
      </c>
      <c r="T94" s="263" t="s">
        <v>12</v>
      </c>
      <c r="U94" s="388" t="s">
        <v>154</v>
      </c>
      <c r="V94" s="389"/>
      <c r="W94" s="48"/>
      <c r="X94" s="393" t="s">
        <v>153</v>
      </c>
      <c r="Y94" s="264" t="s">
        <v>12</v>
      </c>
      <c r="Z94" s="394" t="s">
        <v>154</v>
      </c>
      <c r="AA94" s="395"/>
      <c r="AB94" s="3"/>
      <c r="AC94" s="398" t="s">
        <v>153</v>
      </c>
      <c r="AD94" s="265" t="s">
        <v>12</v>
      </c>
      <c r="AE94" s="399" t="s">
        <v>154</v>
      </c>
      <c r="AF94" s="36"/>
    </row>
    <row r="95" spans="1:34">
      <c r="A95" s="44" t="s">
        <v>155</v>
      </c>
      <c r="B95" s="149" t="s">
        <v>156</v>
      </c>
      <c r="C95" s="44">
        <v>4</v>
      </c>
      <c r="D95" s="36">
        <v>2</v>
      </c>
      <c r="E95" s="632">
        <f t="shared" si="6"/>
        <v>0.5</v>
      </c>
      <c r="F95" s="149"/>
      <c r="G95" s="483" t="s">
        <v>157</v>
      </c>
      <c r="H95" s="483"/>
      <c r="I95" s="483"/>
      <c r="J95" s="483"/>
      <c r="K95" s="311">
        <v>1</v>
      </c>
      <c r="L95" s="301">
        <v>1</v>
      </c>
      <c r="M95" s="415">
        <f t="shared" si="5"/>
        <v>1</v>
      </c>
      <c r="N95" s="301"/>
      <c r="O95" s="121"/>
      <c r="P95" s="118"/>
      <c r="Q95" s="118"/>
      <c r="R95" s="118"/>
      <c r="S95" s="150"/>
      <c r="T95" s="37"/>
      <c r="U95" s="37"/>
      <c r="V95" s="278"/>
      <c r="W95" s="36"/>
      <c r="X95" s="396"/>
      <c r="Y95" s="32"/>
      <c r="Z95" s="31"/>
      <c r="AA95" s="33"/>
      <c r="AC95" s="141"/>
      <c r="AD95" s="34"/>
      <c r="AE95" s="210"/>
    </row>
    <row r="96" spans="1:34">
      <c r="A96" s="44" t="s">
        <v>158</v>
      </c>
      <c r="B96" s="149" t="s">
        <v>156</v>
      </c>
      <c r="C96" s="44">
        <v>3</v>
      </c>
      <c r="D96" s="36">
        <v>3</v>
      </c>
      <c r="E96" s="632">
        <f t="shared" si="6"/>
        <v>1</v>
      </c>
      <c r="F96" s="149"/>
      <c r="G96" s="483" t="s">
        <v>159</v>
      </c>
      <c r="H96" s="483"/>
      <c r="I96" s="483"/>
      <c r="J96" s="483"/>
      <c r="K96" s="311">
        <v>3</v>
      </c>
      <c r="L96" s="301">
        <v>3</v>
      </c>
      <c r="M96" s="415">
        <f t="shared" si="5"/>
        <v>1</v>
      </c>
      <c r="N96" s="301"/>
      <c r="O96" s="121"/>
      <c r="P96" s="118"/>
      <c r="Q96" s="118"/>
      <c r="R96" s="118"/>
      <c r="S96" s="150"/>
      <c r="T96" s="37"/>
      <c r="U96" s="37"/>
      <c r="V96" s="278"/>
      <c r="W96" s="36"/>
      <c r="X96" s="396"/>
      <c r="Y96" s="32"/>
      <c r="Z96" s="31"/>
      <c r="AA96" s="33"/>
      <c r="AC96" s="141"/>
      <c r="AD96" s="34"/>
      <c r="AE96" s="210"/>
    </row>
    <row r="97" spans="1:32">
      <c r="A97" s="44" t="s">
        <v>160</v>
      </c>
      <c r="B97" s="149" t="s">
        <v>161</v>
      </c>
      <c r="C97" s="44">
        <v>2</v>
      </c>
      <c r="D97" s="36">
        <v>2</v>
      </c>
      <c r="E97" s="632">
        <f t="shared" si="6"/>
        <v>1</v>
      </c>
      <c r="F97" s="149"/>
      <c r="G97" s="483" t="s">
        <v>159</v>
      </c>
      <c r="H97" s="483"/>
      <c r="I97" s="483"/>
      <c r="J97" s="483"/>
      <c r="K97" s="311">
        <v>0</v>
      </c>
      <c r="L97" s="301">
        <v>0</v>
      </c>
      <c r="M97" s="415"/>
      <c r="N97" s="301"/>
      <c r="O97" s="121"/>
      <c r="P97" s="118"/>
      <c r="Q97" s="118"/>
      <c r="R97" s="118"/>
      <c r="S97" s="150"/>
      <c r="T97" s="37"/>
      <c r="U97" s="37"/>
      <c r="V97" s="278"/>
      <c r="W97" s="36"/>
      <c r="X97" s="396"/>
      <c r="Y97" s="32"/>
      <c r="Z97" s="31"/>
      <c r="AA97" s="33"/>
      <c r="AC97" s="141"/>
      <c r="AD97" s="34"/>
      <c r="AE97" s="210"/>
    </row>
    <row r="98" spans="1:32">
      <c r="A98" s="44" t="s">
        <v>162</v>
      </c>
      <c r="B98" s="149" t="s">
        <v>161</v>
      </c>
      <c r="C98" s="44">
        <v>2</v>
      </c>
      <c r="D98" s="36">
        <v>2</v>
      </c>
      <c r="E98" s="632">
        <f t="shared" si="6"/>
        <v>1</v>
      </c>
      <c r="F98" s="149"/>
      <c r="G98" s="483" t="s">
        <v>159</v>
      </c>
      <c r="H98" s="483"/>
      <c r="I98" s="483"/>
      <c r="J98" s="483"/>
      <c r="K98" s="311">
        <v>0</v>
      </c>
      <c r="L98" s="301">
        <v>0</v>
      </c>
      <c r="M98" s="415"/>
      <c r="N98" s="301"/>
      <c r="O98" s="121"/>
      <c r="P98" s="118"/>
      <c r="Q98" s="118"/>
      <c r="R98" s="118"/>
      <c r="S98" s="150"/>
      <c r="T98" s="37"/>
      <c r="U98" s="37"/>
      <c r="V98" s="278"/>
      <c r="W98" s="36"/>
      <c r="X98" s="396"/>
      <c r="Y98" s="32"/>
      <c r="Z98" s="31"/>
      <c r="AA98" s="33"/>
      <c r="AC98" s="141"/>
      <c r="AD98" s="34"/>
      <c r="AE98" s="210"/>
    </row>
    <row r="99" spans="1:32">
      <c r="A99" s="44" t="s">
        <v>163</v>
      </c>
      <c r="B99" s="149" t="s">
        <v>164</v>
      </c>
      <c r="C99" s="44">
        <v>29</v>
      </c>
      <c r="D99" s="36">
        <v>29</v>
      </c>
      <c r="E99" s="632">
        <f t="shared" si="6"/>
        <v>1</v>
      </c>
      <c r="F99" s="149"/>
      <c r="G99" s="483" t="s">
        <v>159</v>
      </c>
      <c r="H99" s="483"/>
      <c r="I99" s="483"/>
      <c r="J99" s="483"/>
      <c r="K99" s="311">
        <v>25</v>
      </c>
      <c r="L99" s="301">
        <v>22</v>
      </c>
      <c r="M99" s="415">
        <f t="shared" si="5"/>
        <v>0.88</v>
      </c>
      <c r="N99" s="301"/>
      <c r="O99" s="121">
        <v>29</v>
      </c>
      <c r="P99" s="118">
        <v>28</v>
      </c>
      <c r="Q99" s="414">
        <f>P99/O99</f>
        <v>0.96551724137931039</v>
      </c>
      <c r="R99" s="118"/>
      <c r="S99" s="150"/>
      <c r="T99" s="37"/>
      <c r="U99" s="37"/>
      <c r="V99" s="278"/>
      <c r="W99" s="36"/>
      <c r="X99" s="396"/>
      <c r="Y99" s="32"/>
      <c r="Z99" s="31"/>
      <c r="AA99" s="33"/>
      <c r="AC99" s="141"/>
      <c r="AD99" s="34"/>
      <c r="AE99" s="210"/>
    </row>
    <row r="100" spans="1:32">
      <c r="A100" s="44" t="s">
        <v>165</v>
      </c>
      <c r="B100" s="149" t="s">
        <v>166</v>
      </c>
      <c r="C100" s="44">
        <v>142</v>
      </c>
      <c r="D100" s="36">
        <v>68</v>
      </c>
      <c r="E100" s="632">
        <f t="shared" si="6"/>
        <v>0.47887323943661969</v>
      </c>
      <c r="F100" s="149"/>
      <c r="G100" s="483"/>
      <c r="H100" s="483"/>
      <c r="I100" s="483"/>
      <c r="J100" s="483"/>
      <c r="K100" s="311"/>
      <c r="L100" s="301"/>
      <c r="M100" s="415"/>
      <c r="N100" s="301"/>
      <c r="O100" s="121"/>
      <c r="P100" s="118"/>
      <c r="Q100" s="414"/>
      <c r="R100" s="118"/>
      <c r="S100" s="150"/>
      <c r="T100" s="37"/>
      <c r="U100" s="37"/>
      <c r="V100" s="278"/>
      <c r="W100" s="36"/>
      <c r="X100" s="396"/>
      <c r="Y100" s="32"/>
      <c r="Z100" s="31"/>
      <c r="AA100" s="33"/>
      <c r="AC100" s="141"/>
      <c r="AD100" s="34"/>
      <c r="AE100" s="210"/>
    </row>
    <row r="101" spans="1:32" ht="15.75" thickBot="1">
      <c r="A101" s="27" t="s">
        <v>167</v>
      </c>
      <c r="B101" s="132" t="s">
        <v>168</v>
      </c>
      <c r="C101" s="27">
        <f>128</f>
        <v>128</v>
      </c>
      <c r="D101">
        <f>104</f>
        <v>104</v>
      </c>
      <c r="E101" s="632">
        <f t="shared" si="6"/>
        <v>0.8125</v>
      </c>
      <c r="F101" s="132"/>
      <c r="G101" s="641">
        <v>191</v>
      </c>
      <c r="H101" s="641">
        <v>99</v>
      </c>
      <c r="I101" s="641"/>
      <c r="J101" s="641"/>
      <c r="K101" s="373">
        <v>175</v>
      </c>
      <c r="L101" s="294">
        <v>121</v>
      </c>
      <c r="M101" s="415">
        <f t="shared" si="5"/>
        <v>0.69142857142857139</v>
      </c>
      <c r="N101" s="376"/>
      <c r="O101" s="120">
        <v>180</v>
      </c>
      <c r="P101" s="106">
        <v>119</v>
      </c>
      <c r="Q101" s="406">
        <v>0.66</v>
      </c>
      <c r="R101" s="106"/>
      <c r="S101" s="150">
        <v>204</v>
      </c>
      <c r="T101" s="37">
        <v>144</v>
      </c>
      <c r="U101" s="41">
        <f>144/204</f>
        <v>0.70588235294117652</v>
      </c>
      <c r="V101" s="277"/>
      <c r="W101" s="408"/>
      <c r="X101" s="396">
        <v>200</v>
      </c>
      <c r="Y101" s="38">
        <v>153</v>
      </c>
      <c r="Z101" s="43">
        <f>153/200</f>
        <v>0.76500000000000001</v>
      </c>
      <c r="AA101" s="407"/>
      <c r="AB101" s="176"/>
      <c r="AC101" s="57">
        <v>164</v>
      </c>
      <c r="AD101" s="45">
        <v>111</v>
      </c>
      <c r="AE101" s="168">
        <f>111/164</f>
        <v>0.67682926829268297</v>
      </c>
      <c r="AF101" s="177"/>
    </row>
    <row r="102" spans="1:32" ht="15.75" thickBot="1">
      <c r="A102" s="157" t="s">
        <v>169</v>
      </c>
      <c r="B102" s="133" t="s">
        <v>170</v>
      </c>
      <c r="C102" s="157">
        <v>25</v>
      </c>
      <c r="D102" s="456">
        <v>24</v>
      </c>
      <c r="E102" s="650">
        <f t="shared" si="6"/>
        <v>0.96</v>
      </c>
      <c r="F102" s="133"/>
      <c r="G102" s="643">
        <v>2</v>
      </c>
      <c r="H102" s="643">
        <v>0</v>
      </c>
      <c r="I102" s="643"/>
      <c r="J102" s="643"/>
      <c r="K102" s="374">
        <v>22</v>
      </c>
      <c r="L102" s="295">
        <v>22</v>
      </c>
      <c r="M102" s="419">
        <f t="shared" si="5"/>
        <v>1</v>
      </c>
      <c r="N102" s="304"/>
      <c r="O102" s="122">
        <v>14</v>
      </c>
      <c r="P102" s="123">
        <v>12</v>
      </c>
      <c r="Q102" s="409">
        <f>P102/O102</f>
        <v>0.8571428571428571</v>
      </c>
      <c r="R102" s="123"/>
      <c r="S102" s="206">
        <v>22</v>
      </c>
      <c r="T102" s="173">
        <v>16</v>
      </c>
      <c r="U102" s="410">
        <f>T102/S102</f>
        <v>0.72727272727272729</v>
      </c>
      <c r="V102" s="411"/>
      <c r="W102" s="42"/>
      <c r="X102" s="412">
        <v>25</v>
      </c>
      <c r="Y102" s="174">
        <v>23</v>
      </c>
      <c r="Z102" s="175">
        <f>Y102/X102</f>
        <v>0.92</v>
      </c>
      <c r="AA102" s="413"/>
      <c r="AB102" s="2"/>
      <c r="AC102" s="134">
        <v>17</v>
      </c>
      <c r="AD102" s="129">
        <v>15</v>
      </c>
      <c r="AE102" s="169">
        <f>AD102/AC102</f>
        <v>0.88235294117647056</v>
      </c>
      <c r="AF102" s="177"/>
    </row>
    <row r="103" spans="1:32" ht="15.75" thickBot="1">
      <c r="A103" s="138"/>
      <c r="E103" s="632"/>
      <c r="M103" s="290"/>
      <c r="S103" s="36"/>
      <c r="T103" s="36"/>
      <c r="U103" s="177"/>
      <c r="V103" s="177"/>
      <c r="W103" s="177"/>
      <c r="X103" s="36"/>
      <c r="Y103" s="36"/>
      <c r="Z103" s="177"/>
      <c r="AA103" s="177"/>
      <c r="AC103" s="139"/>
      <c r="AD103" s="139"/>
      <c r="AE103" s="238"/>
      <c r="AF103" s="177"/>
    </row>
    <row r="104" spans="1:32">
      <c r="A104" s="400" t="s">
        <v>171</v>
      </c>
      <c r="B104" s="401"/>
      <c r="C104" s="400" t="s">
        <v>11</v>
      </c>
      <c r="D104" s="653" t="s">
        <v>12</v>
      </c>
      <c r="E104" s="663" t="s">
        <v>13</v>
      </c>
      <c r="F104" s="401"/>
      <c r="G104" s="478" t="s">
        <v>11</v>
      </c>
      <c r="H104" s="478" t="s">
        <v>12</v>
      </c>
      <c r="I104" s="654" t="s">
        <v>13</v>
      </c>
      <c r="J104" s="667"/>
      <c r="K104" s="372"/>
      <c r="L104" s="303"/>
      <c r="M104" s="368"/>
      <c r="N104" s="303"/>
      <c r="O104" s="420"/>
      <c r="P104" s="243"/>
      <c r="Q104" s="243"/>
      <c r="R104" s="243"/>
      <c r="S104" s="205"/>
      <c r="T104" s="172"/>
      <c r="U104" s="423"/>
      <c r="V104" s="424"/>
      <c r="W104" s="177"/>
      <c r="X104" s="427"/>
      <c r="Y104" s="428"/>
      <c r="Z104" s="429"/>
      <c r="AA104" s="430"/>
      <c r="AC104" s="431"/>
      <c r="AD104" s="432"/>
      <c r="AE104" s="433"/>
      <c r="AF104" s="177"/>
    </row>
    <row r="105" spans="1:32">
      <c r="A105" s="138" t="s">
        <v>172</v>
      </c>
      <c r="B105" s="132" t="s">
        <v>173</v>
      </c>
      <c r="C105" s="27" t="s">
        <v>174</v>
      </c>
      <c r="E105" s="632"/>
      <c r="F105" s="132"/>
      <c r="G105" s="641">
        <v>6</v>
      </c>
      <c r="H105" s="641">
        <v>6</v>
      </c>
      <c r="I105" s="641"/>
      <c r="J105" s="641"/>
      <c r="K105" s="373"/>
      <c r="L105" s="294">
        <v>2</v>
      </c>
      <c r="M105" s="293"/>
      <c r="N105" s="294"/>
      <c r="O105" s="120"/>
      <c r="P105" s="106"/>
      <c r="Q105" s="106">
        <v>9</v>
      </c>
      <c r="R105" s="106"/>
      <c r="S105" s="150"/>
      <c r="T105" s="37"/>
      <c r="U105" s="439">
        <v>3</v>
      </c>
      <c r="V105" s="277"/>
      <c r="W105" s="177"/>
      <c r="X105" s="396"/>
      <c r="Y105" s="38"/>
      <c r="Z105" s="441">
        <v>8</v>
      </c>
      <c r="AA105" s="407"/>
      <c r="AC105" s="57"/>
      <c r="AD105" s="45">
        <v>8</v>
      </c>
      <c r="AE105" s="168"/>
      <c r="AF105" s="177"/>
    </row>
    <row r="106" spans="1:32">
      <c r="A106" s="138" t="s">
        <v>175</v>
      </c>
      <c r="B106" s="132" t="s">
        <v>173</v>
      </c>
      <c r="C106" s="27">
        <v>10</v>
      </c>
      <c r="D106">
        <v>10</v>
      </c>
      <c r="E106" s="632">
        <f t="shared" si="6"/>
        <v>1</v>
      </c>
      <c r="F106" s="132"/>
      <c r="G106" s="641">
        <v>19</v>
      </c>
      <c r="H106" s="641">
        <v>19</v>
      </c>
      <c r="I106" s="641"/>
      <c r="J106" s="641"/>
      <c r="K106" s="373"/>
      <c r="L106" s="294">
        <v>15</v>
      </c>
      <c r="M106" s="293"/>
      <c r="N106" s="294"/>
      <c r="O106" s="120"/>
      <c r="P106" s="106"/>
      <c r="Q106" s="106">
        <v>9</v>
      </c>
      <c r="R106" s="106"/>
      <c r="S106" s="150"/>
      <c r="T106" s="37"/>
      <c r="U106" s="439">
        <v>15</v>
      </c>
      <c r="V106" s="277"/>
      <c r="W106" s="177"/>
      <c r="X106" s="396"/>
      <c r="Y106" s="38"/>
      <c r="Z106" s="441">
        <v>17</v>
      </c>
      <c r="AA106" s="407"/>
      <c r="AC106" s="57"/>
      <c r="AD106" s="45">
        <v>13</v>
      </c>
      <c r="AE106" s="168"/>
      <c r="AF106" s="177"/>
    </row>
    <row r="107" spans="1:32">
      <c r="A107" s="44" t="s">
        <v>176</v>
      </c>
      <c r="B107" s="149" t="s">
        <v>177</v>
      </c>
      <c r="C107" s="44">
        <v>156</v>
      </c>
      <c r="D107" s="36">
        <v>154</v>
      </c>
      <c r="E107" s="632">
        <f t="shared" si="6"/>
        <v>0.98717948717948723</v>
      </c>
      <c r="F107" s="149"/>
      <c r="G107" s="483">
        <v>169</v>
      </c>
      <c r="H107" s="483">
        <v>163</v>
      </c>
      <c r="I107" s="483"/>
      <c r="J107" s="483"/>
      <c r="K107" s="311"/>
      <c r="L107" s="301">
        <v>131</v>
      </c>
      <c r="M107" s="293"/>
      <c r="N107" s="367"/>
      <c r="O107" s="403"/>
      <c r="P107" s="402"/>
      <c r="Q107" s="118">
        <v>150</v>
      </c>
      <c r="R107" s="402"/>
      <c r="S107" s="385"/>
      <c r="T107" s="384"/>
      <c r="U107" s="440">
        <v>179</v>
      </c>
      <c r="V107" s="425"/>
      <c r="W107" s="237"/>
      <c r="X107" s="391"/>
      <c r="Y107" s="390"/>
      <c r="Z107" s="31">
        <v>183</v>
      </c>
      <c r="AA107" s="404"/>
      <c r="AB107" s="219"/>
      <c r="AC107" s="397"/>
      <c r="AD107" s="40">
        <v>168</v>
      </c>
      <c r="AE107" s="434"/>
    </row>
    <row r="108" spans="1:32">
      <c r="A108" s="44" t="s">
        <v>178</v>
      </c>
      <c r="B108" s="149" t="s">
        <v>179</v>
      </c>
      <c r="C108" s="44" t="s">
        <v>174</v>
      </c>
      <c r="D108" s="36"/>
      <c r="E108" s="632"/>
      <c r="F108" s="149"/>
      <c r="G108" s="483">
        <v>20</v>
      </c>
      <c r="H108" s="483">
        <v>18</v>
      </c>
      <c r="I108" s="483"/>
      <c r="J108" s="483"/>
      <c r="K108" s="311"/>
      <c r="L108" s="301">
        <v>18</v>
      </c>
      <c r="M108" s="293"/>
      <c r="N108" s="367"/>
      <c r="O108" s="403"/>
      <c r="P108" s="402"/>
      <c r="Q108" s="118">
        <v>19</v>
      </c>
      <c r="R108" s="402"/>
      <c r="S108" s="385"/>
      <c r="T108" s="384"/>
      <c r="U108" s="440">
        <v>18</v>
      </c>
      <c r="V108" s="425"/>
      <c r="W108" s="240"/>
      <c r="X108" s="391"/>
      <c r="Y108" s="390"/>
      <c r="Z108" s="31">
        <v>18</v>
      </c>
      <c r="AA108" s="404"/>
      <c r="AB108" s="239"/>
      <c r="AC108" s="214"/>
      <c r="AD108" s="40">
        <v>14</v>
      </c>
      <c r="AE108" s="435"/>
    </row>
    <row r="109" spans="1:32">
      <c r="A109" s="44" t="s">
        <v>180</v>
      </c>
      <c r="B109" s="149" t="s">
        <v>173</v>
      </c>
      <c r="C109" s="44">
        <v>4</v>
      </c>
      <c r="D109" s="36">
        <v>4</v>
      </c>
      <c r="E109" s="632">
        <f t="shared" si="6"/>
        <v>1</v>
      </c>
      <c r="F109" s="149"/>
      <c r="G109" s="483">
        <v>19</v>
      </c>
      <c r="H109" s="483">
        <v>14</v>
      </c>
      <c r="I109" s="483"/>
      <c r="J109" s="483"/>
      <c r="K109" s="311"/>
      <c r="L109" s="301">
        <v>9</v>
      </c>
      <c r="M109" s="293"/>
      <c r="N109" s="367"/>
      <c r="O109" s="403"/>
      <c r="P109" s="402"/>
      <c r="Q109" s="118">
        <v>6</v>
      </c>
      <c r="R109" s="402"/>
      <c r="S109" s="385"/>
      <c r="T109" s="384"/>
      <c r="U109" s="37">
        <v>13</v>
      </c>
      <c r="V109" s="425"/>
      <c r="W109" s="31"/>
      <c r="X109" s="391"/>
      <c r="Y109" s="390"/>
      <c r="Z109" s="31">
        <v>8</v>
      </c>
      <c r="AA109" s="404"/>
      <c r="AB109" s="50"/>
      <c r="AC109" s="214"/>
      <c r="AD109" s="40">
        <v>14</v>
      </c>
      <c r="AE109" s="435"/>
    </row>
    <row r="110" spans="1:32" ht="15.75" thickBot="1">
      <c r="A110" s="153" t="s">
        <v>181</v>
      </c>
      <c r="B110" s="154" t="s">
        <v>173</v>
      </c>
      <c r="C110" s="153">
        <v>10</v>
      </c>
      <c r="D110" s="156">
        <v>10</v>
      </c>
      <c r="E110" s="650">
        <f t="shared" si="6"/>
        <v>1</v>
      </c>
      <c r="F110" s="154"/>
      <c r="G110" s="492">
        <v>10</v>
      </c>
      <c r="H110" s="492">
        <v>10</v>
      </c>
      <c r="I110" s="492"/>
      <c r="J110" s="492"/>
      <c r="K110" s="312"/>
      <c r="L110" s="306">
        <v>16</v>
      </c>
      <c r="M110" s="298"/>
      <c r="N110" s="297"/>
      <c r="O110" s="421"/>
      <c r="P110" s="422"/>
      <c r="Q110" s="155">
        <v>11</v>
      </c>
      <c r="R110" s="422"/>
      <c r="S110" s="386"/>
      <c r="T110" s="266"/>
      <c r="U110" s="173">
        <v>10</v>
      </c>
      <c r="V110" s="426"/>
      <c r="W110" s="31"/>
      <c r="X110" s="392"/>
      <c r="Y110" s="267"/>
      <c r="Z110" s="442">
        <v>15</v>
      </c>
      <c r="AA110" s="405"/>
      <c r="AB110" s="50"/>
      <c r="AC110" s="436"/>
      <c r="AD110" s="160">
        <v>6</v>
      </c>
      <c r="AE110" s="438"/>
    </row>
    <row r="111" spans="1:3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</row>
    <row r="112" spans="1:32">
      <c r="A112" s="676" t="s">
        <v>182</v>
      </c>
      <c r="B112" s="677" t="s">
        <v>183</v>
      </c>
      <c r="C112" s="677" t="s">
        <v>184</v>
      </c>
      <c r="D112" s="677"/>
      <c r="E112" s="677"/>
      <c r="F112" s="677"/>
      <c r="G112" s="678"/>
      <c r="H112" s="678">
        <v>179</v>
      </c>
      <c r="I112" s="677"/>
      <c r="J112" s="679"/>
      <c r="K112" s="292"/>
      <c r="L112" s="296" t="s">
        <v>185</v>
      </c>
      <c r="M112" s="296">
        <v>156</v>
      </c>
      <c r="N112" s="292"/>
      <c r="O112" s="220"/>
      <c r="P112" s="284" t="s">
        <v>186</v>
      </c>
      <c r="Q112" s="110">
        <v>170</v>
      </c>
      <c r="R112" s="220"/>
      <c r="S112" s="109"/>
      <c r="T112" s="109" t="s">
        <v>186</v>
      </c>
      <c r="U112" s="109">
        <v>198</v>
      </c>
      <c r="V112" s="109"/>
      <c r="W112" s="110"/>
      <c r="X112" s="110"/>
      <c r="Y112" s="110" t="s">
        <v>186</v>
      </c>
      <c r="Z112" s="110">
        <v>211</v>
      </c>
      <c r="AA112" s="110"/>
      <c r="AB112" s="110"/>
      <c r="AC112" s="110"/>
      <c r="AD112" s="110" t="s">
        <v>186</v>
      </c>
      <c r="AE112" s="111">
        <v>191</v>
      </c>
    </row>
    <row r="113" spans="1:22">
      <c r="B113" s="674"/>
    </row>
    <row r="114" spans="1:22">
      <c r="A114" s="36"/>
      <c r="B114" s="675"/>
      <c r="C114" s="48"/>
      <c r="D114" s="48"/>
      <c r="E114" s="48"/>
      <c r="F114" s="48"/>
      <c r="G114" s="48"/>
      <c r="H114" s="48"/>
      <c r="I114" s="48"/>
      <c r="J114" s="48"/>
      <c r="K114" s="48"/>
      <c r="L114" s="48"/>
      <c r="M114" s="48"/>
      <c r="N114" s="48"/>
      <c r="O114" s="48"/>
      <c r="P114" s="48"/>
      <c r="Q114" s="48"/>
      <c r="R114" s="48"/>
      <c r="S114" s="48"/>
      <c r="T114" s="36"/>
      <c r="U114" s="48"/>
      <c r="V114" s="48"/>
    </row>
    <row r="115" spans="1:22">
      <c r="B115" s="674"/>
    </row>
    <row r="116" spans="1:22">
      <c r="B116" s="674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39"/>
  <sheetViews>
    <sheetView zoomScaleNormal="100" workbookViewId="0">
      <selection activeCell="V25" sqref="V25"/>
    </sheetView>
  </sheetViews>
  <sheetFormatPr baseColWidth="10" defaultColWidth="8.7109375" defaultRowHeight="15"/>
  <cols>
    <col min="1" max="1" width="11.42578125" customWidth="1"/>
    <col min="3" max="9" width="8.28515625" customWidth="1"/>
  </cols>
  <sheetData>
    <row r="1" spans="1:24">
      <c r="A1" s="1" t="s">
        <v>187</v>
      </c>
      <c r="R1" s="142"/>
    </row>
    <row r="2" spans="1:24" ht="15.75" thickBot="1">
      <c r="R2" s="142"/>
    </row>
    <row r="3" spans="1:24" ht="15.75" thickBot="1">
      <c r="A3" s="143"/>
      <c r="B3" s="85"/>
      <c r="C3" s="85"/>
      <c r="D3" s="486" t="s">
        <v>3</v>
      </c>
      <c r="E3" s="487"/>
      <c r="F3" s="488"/>
      <c r="G3" s="477" t="s">
        <v>4</v>
      </c>
      <c r="H3" s="478"/>
      <c r="I3" s="479"/>
      <c r="J3" s="307" t="s">
        <v>5</v>
      </c>
      <c r="K3" s="299"/>
      <c r="L3" s="308"/>
      <c r="M3" s="241"/>
      <c r="N3" s="244" t="s">
        <v>6</v>
      </c>
      <c r="O3" s="241"/>
      <c r="P3" s="145"/>
      <c r="Q3" s="65" t="s">
        <v>7</v>
      </c>
      <c r="R3" s="209"/>
      <c r="S3" s="68"/>
      <c r="T3" s="68" t="s">
        <v>8</v>
      </c>
      <c r="U3" s="68"/>
      <c r="V3" s="202"/>
      <c r="W3" s="71" t="s">
        <v>9</v>
      </c>
      <c r="X3" s="204"/>
    </row>
    <row r="4" spans="1:24" ht="15.75" thickBot="1">
      <c r="A4" s="63" t="s">
        <v>188</v>
      </c>
      <c r="B4" s="100"/>
      <c r="C4" s="100"/>
      <c r="D4" s="486" t="s">
        <v>11</v>
      </c>
      <c r="E4" s="487" t="s">
        <v>12</v>
      </c>
      <c r="F4" s="488" t="s">
        <v>13</v>
      </c>
      <c r="G4" s="477" t="s">
        <v>11</v>
      </c>
      <c r="H4" s="478" t="s">
        <v>12</v>
      </c>
      <c r="I4" s="479" t="s">
        <v>13</v>
      </c>
      <c r="J4" s="307" t="s">
        <v>11</v>
      </c>
      <c r="K4" s="299" t="s">
        <v>12</v>
      </c>
      <c r="L4" s="308" t="s">
        <v>13</v>
      </c>
      <c r="M4" s="244" t="s">
        <v>11</v>
      </c>
      <c r="N4" s="496" t="s">
        <v>12</v>
      </c>
      <c r="O4" s="244" t="s">
        <v>13</v>
      </c>
      <c r="P4" s="145" t="s">
        <v>15</v>
      </c>
      <c r="Q4" s="452" t="s">
        <v>12</v>
      </c>
      <c r="R4" s="497" t="s">
        <v>13</v>
      </c>
      <c r="S4" s="68" t="s">
        <v>15</v>
      </c>
      <c r="T4" s="498" t="s">
        <v>12</v>
      </c>
      <c r="U4" s="499" t="s">
        <v>13</v>
      </c>
      <c r="V4" s="202" t="s">
        <v>15</v>
      </c>
      <c r="W4" s="454" t="s">
        <v>12</v>
      </c>
      <c r="X4" s="455" t="s">
        <v>13</v>
      </c>
    </row>
    <row r="5" spans="1:24">
      <c r="A5" s="500" t="s">
        <v>189</v>
      </c>
      <c r="B5" s="500" t="s">
        <v>190</v>
      </c>
      <c r="C5" s="511"/>
      <c r="D5" s="514">
        <v>118</v>
      </c>
      <c r="E5" s="515">
        <v>110</v>
      </c>
      <c r="F5" s="516">
        <f>E5/D5</f>
        <v>0.93220338983050843</v>
      </c>
      <c r="G5" s="523">
        <v>152</v>
      </c>
      <c r="H5" s="524">
        <v>143</v>
      </c>
      <c r="I5" s="525">
        <f>H5/G5</f>
        <v>0.94078947368421051</v>
      </c>
      <c r="J5" s="531">
        <v>147</v>
      </c>
      <c r="K5" s="532">
        <v>133</v>
      </c>
      <c r="L5" s="533">
        <f>K5/J5</f>
        <v>0.90476190476190477</v>
      </c>
      <c r="M5" s="539">
        <v>165</v>
      </c>
      <c r="N5" s="540">
        <v>154</v>
      </c>
      <c r="O5" s="541"/>
      <c r="P5" s="547">
        <v>146</v>
      </c>
      <c r="Q5" s="548">
        <v>142</v>
      </c>
      <c r="R5" s="549"/>
      <c r="S5" s="555">
        <v>153</v>
      </c>
      <c r="T5" s="556">
        <v>140</v>
      </c>
      <c r="U5" s="557">
        <f>140/153</f>
        <v>0.91503267973856206</v>
      </c>
      <c r="V5" s="563">
        <v>142</v>
      </c>
      <c r="W5" s="564">
        <v>122</v>
      </c>
      <c r="X5" s="565">
        <f>122/142</f>
        <v>0.85915492957746475</v>
      </c>
    </row>
    <row r="6" spans="1:24">
      <c r="A6" s="500" t="s">
        <v>191</v>
      </c>
      <c r="B6" s="500" t="s">
        <v>192</v>
      </c>
      <c r="C6" s="511"/>
      <c r="D6" s="517">
        <v>117</v>
      </c>
      <c r="E6" s="500">
        <v>110</v>
      </c>
      <c r="F6" s="518">
        <f t="shared" ref="F6:F39" si="0">E6/D6</f>
        <v>0.94017094017094016</v>
      </c>
      <c r="G6" s="526">
        <v>120</v>
      </c>
      <c r="H6" s="501">
        <v>115</v>
      </c>
      <c r="I6" s="527">
        <f t="shared" ref="I6:I39" si="1">H6/G6</f>
        <v>0.95833333333333337</v>
      </c>
      <c r="J6" s="534">
        <v>124</v>
      </c>
      <c r="K6" s="502">
        <v>116</v>
      </c>
      <c r="L6" s="535">
        <f t="shared" ref="L6:L35" si="2">K6/J6</f>
        <v>0.93548387096774188</v>
      </c>
      <c r="M6" s="542">
        <v>110</v>
      </c>
      <c r="N6" s="503">
        <v>104</v>
      </c>
      <c r="O6" s="543"/>
      <c r="P6" s="550">
        <v>125</v>
      </c>
      <c r="Q6" s="504">
        <v>122</v>
      </c>
      <c r="R6" s="551"/>
      <c r="S6" s="558">
        <v>133</v>
      </c>
      <c r="T6" s="505">
        <v>128</v>
      </c>
      <c r="U6" s="559">
        <f>128/133</f>
        <v>0.96240601503759393</v>
      </c>
      <c r="V6" s="566" t="s">
        <v>93</v>
      </c>
      <c r="W6" s="507"/>
      <c r="X6" s="567"/>
    </row>
    <row r="7" spans="1:24">
      <c r="A7" s="500" t="s">
        <v>193</v>
      </c>
      <c r="B7" s="500" t="s">
        <v>194</v>
      </c>
      <c r="C7" s="511"/>
      <c r="D7" s="517">
        <v>16</v>
      </c>
      <c r="E7" s="500">
        <v>15</v>
      </c>
      <c r="F7" s="518">
        <f t="shared" si="0"/>
        <v>0.9375</v>
      </c>
      <c r="G7" s="526">
        <v>12</v>
      </c>
      <c r="H7" s="501">
        <v>11</v>
      </c>
      <c r="I7" s="527">
        <f t="shared" si="1"/>
        <v>0.91666666666666663</v>
      </c>
      <c r="J7" s="534">
        <v>14</v>
      </c>
      <c r="K7" s="502">
        <v>14</v>
      </c>
      <c r="L7" s="535">
        <f t="shared" si="2"/>
        <v>1</v>
      </c>
      <c r="M7" s="542">
        <v>19</v>
      </c>
      <c r="N7" s="503">
        <v>15</v>
      </c>
      <c r="O7" s="543"/>
      <c r="P7" s="550">
        <v>13</v>
      </c>
      <c r="Q7" s="504">
        <v>8</v>
      </c>
      <c r="R7" s="551"/>
      <c r="S7" s="558">
        <v>10</v>
      </c>
      <c r="T7" s="505">
        <v>7</v>
      </c>
      <c r="U7" s="559">
        <f>7/10</f>
        <v>0.7</v>
      </c>
      <c r="V7" s="566">
        <v>5</v>
      </c>
      <c r="W7" s="507">
        <v>2</v>
      </c>
      <c r="X7" s="567">
        <f>2/5</f>
        <v>0.4</v>
      </c>
    </row>
    <row r="8" spans="1:24">
      <c r="A8" s="500" t="s">
        <v>195</v>
      </c>
      <c r="B8" s="500" t="s">
        <v>196</v>
      </c>
      <c r="C8" s="511"/>
      <c r="D8" s="517">
        <v>58</v>
      </c>
      <c r="E8" s="500">
        <v>40</v>
      </c>
      <c r="F8" s="518">
        <f t="shared" si="0"/>
        <v>0.68965517241379315</v>
      </c>
      <c r="G8" s="526" t="s">
        <v>197</v>
      </c>
      <c r="H8" s="501"/>
      <c r="I8" s="527"/>
      <c r="J8" s="534"/>
      <c r="K8" s="502"/>
      <c r="L8" s="535"/>
      <c r="M8" s="542"/>
      <c r="N8" s="503"/>
      <c r="O8" s="543"/>
      <c r="P8" s="550"/>
      <c r="Q8" s="504"/>
      <c r="R8" s="551"/>
      <c r="S8" s="558"/>
      <c r="T8" s="505"/>
      <c r="U8" s="559"/>
      <c r="V8" s="566"/>
      <c r="W8" s="507"/>
      <c r="X8" s="567"/>
    </row>
    <row r="9" spans="1:24">
      <c r="A9" s="500" t="s">
        <v>198</v>
      </c>
      <c r="B9" s="500" t="s">
        <v>199</v>
      </c>
      <c r="C9" s="511"/>
      <c r="D9" s="517">
        <v>64</v>
      </c>
      <c r="E9" s="500">
        <v>51</v>
      </c>
      <c r="F9" s="518">
        <f t="shared" si="0"/>
        <v>0.796875</v>
      </c>
      <c r="G9" s="526">
        <v>73</v>
      </c>
      <c r="H9" s="501"/>
      <c r="I9" s="527">
        <f t="shared" si="1"/>
        <v>0</v>
      </c>
      <c r="J9" s="534"/>
      <c r="K9" s="502"/>
      <c r="L9" s="535"/>
      <c r="M9" s="542"/>
      <c r="N9" s="503"/>
      <c r="O9" s="543"/>
      <c r="P9" s="550"/>
      <c r="Q9" s="504"/>
      <c r="R9" s="551"/>
      <c r="S9" s="558"/>
      <c r="T9" s="505"/>
      <c r="U9" s="559"/>
      <c r="V9" s="566"/>
      <c r="W9" s="507"/>
      <c r="X9" s="567"/>
    </row>
    <row r="10" spans="1:24">
      <c r="A10" s="500" t="s">
        <v>200</v>
      </c>
      <c r="B10" s="500" t="s">
        <v>201</v>
      </c>
      <c r="C10" s="511"/>
      <c r="D10" s="517">
        <v>65</v>
      </c>
      <c r="E10" s="500">
        <v>53</v>
      </c>
      <c r="F10" s="518">
        <f t="shared" si="0"/>
        <v>0.81538461538461537</v>
      </c>
      <c r="G10" s="526">
        <v>68</v>
      </c>
      <c r="H10" s="501">
        <v>63</v>
      </c>
      <c r="I10" s="527">
        <f t="shared" si="1"/>
        <v>0.92647058823529416</v>
      </c>
      <c r="J10" s="534"/>
      <c r="K10" s="502"/>
      <c r="L10" s="535"/>
      <c r="M10" s="542"/>
      <c r="N10" s="503"/>
      <c r="O10" s="543"/>
      <c r="P10" s="550"/>
      <c r="Q10" s="504"/>
      <c r="R10" s="551"/>
      <c r="S10" s="558"/>
      <c r="T10" s="505"/>
      <c r="U10" s="559"/>
      <c r="V10" s="566"/>
      <c r="W10" s="507"/>
      <c r="X10" s="567"/>
    </row>
    <row r="11" spans="1:24">
      <c r="A11" s="500" t="s">
        <v>202</v>
      </c>
      <c r="B11" s="500" t="s">
        <v>203</v>
      </c>
      <c r="C11" s="511"/>
      <c r="D11" s="517">
        <v>65</v>
      </c>
      <c r="E11" s="500">
        <v>46</v>
      </c>
      <c r="F11" s="518">
        <f t="shared" si="0"/>
        <v>0.70769230769230773</v>
      </c>
      <c r="G11" s="526">
        <v>72</v>
      </c>
      <c r="H11" s="501">
        <v>55</v>
      </c>
      <c r="I11" s="527">
        <f t="shared" si="1"/>
        <v>0.76388888888888884</v>
      </c>
      <c r="J11" s="534"/>
      <c r="K11" s="502"/>
      <c r="L11" s="535"/>
      <c r="M11" s="542"/>
      <c r="N11" s="503"/>
      <c r="O11" s="543"/>
      <c r="P11" s="550"/>
      <c r="Q11" s="504"/>
      <c r="R11" s="551"/>
      <c r="S11" s="558"/>
      <c r="T11" s="505"/>
      <c r="U11" s="559"/>
      <c r="V11" s="566"/>
      <c r="W11" s="507"/>
      <c r="X11" s="567"/>
    </row>
    <row r="12" spans="1:24">
      <c r="A12" s="508" t="s">
        <v>204</v>
      </c>
      <c r="B12" s="508" t="s">
        <v>205</v>
      </c>
      <c r="C12" s="512"/>
      <c r="D12" s="517" t="s">
        <v>197</v>
      </c>
      <c r="E12" s="500"/>
      <c r="F12" s="518"/>
      <c r="G12" s="526" t="s">
        <v>197</v>
      </c>
      <c r="H12" s="501"/>
      <c r="I12" s="527"/>
      <c r="J12" s="534">
        <v>65</v>
      </c>
      <c r="K12" s="502">
        <v>48</v>
      </c>
      <c r="L12" s="535">
        <f t="shared" si="2"/>
        <v>0.7384615384615385</v>
      </c>
      <c r="M12" s="542"/>
      <c r="N12" s="503"/>
      <c r="O12" s="543"/>
      <c r="P12" s="550"/>
      <c r="Q12" s="504"/>
      <c r="R12" s="551"/>
      <c r="S12" s="558"/>
      <c r="T12" s="505"/>
      <c r="U12" s="559"/>
      <c r="V12" s="566"/>
      <c r="W12" s="507"/>
      <c r="X12" s="567"/>
    </row>
    <row r="13" spans="1:24">
      <c r="A13" s="508" t="s">
        <v>206</v>
      </c>
      <c r="B13" s="508" t="s">
        <v>207</v>
      </c>
      <c r="C13" s="512"/>
      <c r="D13" s="517" t="s">
        <v>197</v>
      </c>
      <c r="E13" s="500"/>
      <c r="F13" s="518"/>
      <c r="G13" s="526" t="s">
        <v>197</v>
      </c>
      <c r="H13" s="501"/>
      <c r="I13" s="527"/>
      <c r="J13" s="534">
        <v>66</v>
      </c>
      <c r="K13" s="502">
        <v>56</v>
      </c>
      <c r="L13" s="535">
        <f t="shared" si="2"/>
        <v>0.84848484848484851</v>
      </c>
      <c r="M13" s="542"/>
      <c r="N13" s="503"/>
      <c r="O13" s="543"/>
      <c r="P13" s="550"/>
      <c r="Q13" s="504"/>
      <c r="R13" s="551"/>
      <c r="S13" s="558"/>
      <c r="T13" s="505"/>
      <c r="U13" s="559"/>
      <c r="V13" s="566"/>
      <c r="W13" s="507"/>
      <c r="X13" s="567"/>
    </row>
    <row r="14" spans="1:24">
      <c r="A14" s="508" t="s">
        <v>208</v>
      </c>
      <c r="B14" s="508" t="s">
        <v>209</v>
      </c>
      <c r="C14" s="512"/>
      <c r="D14" s="517" t="s">
        <v>197</v>
      </c>
      <c r="E14" s="500"/>
      <c r="F14" s="518"/>
      <c r="G14" s="526">
        <v>72</v>
      </c>
      <c r="H14" s="501">
        <v>58</v>
      </c>
      <c r="I14" s="527">
        <f t="shared" si="1"/>
        <v>0.80555555555555558</v>
      </c>
      <c r="J14" s="534">
        <v>68</v>
      </c>
      <c r="K14" s="502">
        <v>45</v>
      </c>
      <c r="L14" s="535">
        <f t="shared" si="2"/>
        <v>0.66176470588235292</v>
      </c>
      <c r="M14" s="542"/>
      <c r="N14" s="503"/>
      <c r="O14" s="543"/>
      <c r="P14" s="550"/>
      <c r="Q14" s="504"/>
      <c r="R14" s="551"/>
      <c r="S14" s="558"/>
      <c r="T14" s="505"/>
      <c r="U14" s="559"/>
      <c r="V14" s="566"/>
      <c r="W14" s="507"/>
      <c r="X14" s="567"/>
    </row>
    <row r="15" spans="1:24">
      <c r="A15" s="508" t="s">
        <v>210</v>
      </c>
      <c r="B15" s="508" t="s">
        <v>211</v>
      </c>
      <c r="C15" s="512"/>
      <c r="D15" s="517" t="s">
        <v>197</v>
      </c>
      <c r="E15" s="500"/>
      <c r="F15" s="518"/>
      <c r="G15" s="526" t="s">
        <v>197</v>
      </c>
      <c r="H15" s="501"/>
      <c r="I15" s="527"/>
      <c r="J15" s="534" t="s">
        <v>93</v>
      </c>
      <c r="K15" s="502"/>
      <c r="L15" s="535"/>
      <c r="M15" s="542" t="s">
        <v>93</v>
      </c>
      <c r="N15" s="503"/>
      <c r="O15" s="543"/>
      <c r="P15" s="550">
        <v>87</v>
      </c>
      <c r="Q15" s="504">
        <v>76</v>
      </c>
      <c r="R15" s="551"/>
      <c r="S15" s="558">
        <v>82</v>
      </c>
      <c r="T15" s="505">
        <v>68</v>
      </c>
      <c r="U15" s="559">
        <f>68/82</f>
        <v>0.82926829268292679</v>
      </c>
      <c r="V15" s="566">
        <v>85</v>
      </c>
      <c r="W15" s="507">
        <v>73</v>
      </c>
      <c r="X15" s="567">
        <f>73/85</f>
        <v>0.85882352941176465</v>
      </c>
    </row>
    <row r="16" spans="1:24">
      <c r="A16" s="508" t="s">
        <v>212</v>
      </c>
      <c r="B16" s="508" t="s">
        <v>213</v>
      </c>
      <c r="C16" s="512"/>
      <c r="D16" s="517" t="s">
        <v>197</v>
      </c>
      <c r="E16" s="500"/>
      <c r="F16" s="518"/>
      <c r="G16" s="526" t="s">
        <v>197</v>
      </c>
      <c r="H16" s="501"/>
      <c r="I16" s="527"/>
      <c r="J16" s="534" t="s">
        <v>93</v>
      </c>
      <c r="K16" s="502"/>
      <c r="L16" s="535"/>
      <c r="M16" s="542">
        <v>86</v>
      </c>
      <c r="N16" s="503">
        <v>72</v>
      </c>
      <c r="O16" s="543"/>
      <c r="P16" s="550" t="s">
        <v>93</v>
      </c>
      <c r="Q16" s="504"/>
      <c r="R16" s="551"/>
      <c r="S16" s="558">
        <v>69</v>
      </c>
      <c r="T16" s="505">
        <v>51</v>
      </c>
      <c r="U16" s="559">
        <f>51/69</f>
        <v>0.73913043478260865</v>
      </c>
      <c r="V16" s="566">
        <v>58</v>
      </c>
      <c r="W16" s="507">
        <v>35</v>
      </c>
      <c r="X16" s="567">
        <f>35/58</f>
        <v>0.60344827586206895</v>
      </c>
    </row>
    <row r="17" spans="1:24">
      <c r="A17" s="500" t="s">
        <v>214</v>
      </c>
      <c r="B17" s="500" t="s">
        <v>215</v>
      </c>
      <c r="C17" s="511"/>
      <c r="D17" s="517">
        <v>20</v>
      </c>
      <c r="E17" s="500">
        <v>20</v>
      </c>
      <c r="F17" s="518">
        <f t="shared" si="0"/>
        <v>1</v>
      </c>
      <c r="G17" s="526">
        <v>18</v>
      </c>
      <c r="H17" s="501">
        <v>18</v>
      </c>
      <c r="I17" s="527">
        <f t="shared" si="1"/>
        <v>1</v>
      </c>
      <c r="J17" s="534">
        <v>18</v>
      </c>
      <c r="K17" s="502">
        <v>18</v>
      </c>
      <c r="L17" s="535">
        <f t="shared" si="2"/>
        <v>1</v>
      </c>
      <c r="M17" s="542">
        <v>21</v>
      </c>
      <c r="N17" s="503">
        <v>21</v>
      </c>
      <c r="O17" s="543"/>
      <c r="P17" s="550">
        <v>21</v>
      </c>
      <c r="Q17" s="504">
        <v>20</v>
      </c>
      <c r="R17" s="551"/>
      <c r="S17" s="558">
        <v>18</v>
      </c>
      <c r="T17" s="505">
        <v>17</v>
      </c>
      <c r="U17" s="559">
        <f>17/18</f>
        <v>0.94444444444444442</v>
      </c>
      <c r="V17" s="566">
        <v>19</v>
      </c>
      <c r="W17" s="507">
        <v>17</v>
      </c>
      <c r="X17" s="567">
        <f>17/19</f>
        <v>0.89473684210526316</v>
      </c>
    </row>
    <row r="18" spans="1:24">
      <c r="A18" s="500" t="s">
        <v>216</v>
      </c>
      <c r="B18" s="500" t="s">
        <v>196</v>
      </c>
      <c r="C18" s="511"/>
      <c r="D18" s="517">
        <v>5</v>
      </c>
      <c r="E18" s="500">
        <v>5</v>
      </c>
      <c r="F18" s="518">
        <f t="shared" si="0"/>
        <v>1</v>
      </c>
      <c r="G18" s="526"/>
      <c r="H18" s="501"/>
      <c r="I18" s="527"/>
      <c r="J18" s="534"/>
      <c r="K18" s="502"/>
      <c r="L18" s="535"/>
      <c r="M18" s="542"/>
      <c r="N18" s="503"/>
      <c r="O18" s="543"/>
      <c r="P18" s="550"/>
      <c r="Q18" s="504"/>
      <c r="R18" s="551"/>
      <c r="S18" s="558"/>
      <c r="T18" s="505"/>
      <c r="U18" s="559"/>
      <c r="V18" s="566"/>
      <c r="W18" s="507"/>
      <c r="X18" s="567"/>
    </row>
    <row r="19" spans="1:24">
      <c r="A19" s="500" t="s">
        <v>217</v>
      </c>
      <c r="B19" s="500" t="s">
        <v>199</v>
      </c>
      <c r="C19" s="511"/>
      <c r="D19" s="517">
        <v>6</v>
      </c>
      <c r="E19" s="500">
        <v>5</v>
      </c>
      <c r="F19" s="518">
        <f t="shared" si="0"/>
        <v>0.83333333333333337</v>
      </c>
      <c r="G19" s="526">
        <v>13</v>
      </c>
      <c r="H19" s="501">
        <v>12</v>
      </c>
      <c r="I19" s="527">
        <f t="shared" si="1"/>
        <v>0.92307692307692313</v>
      </c>
      <c r="J19" s="534"/>
      <c r="K19" s="502"/>
      <c r="L19" s="535"/>
      <c r="M19" s="542"/>
      <c r="N19" s="503"/>
      <c r="O19" s="543"/>
      <c r="P19" s="550"/>
      <c r="Q19" s="504"/>
      <c r="R19" s="551"/>
      <c r="S19" s="558"/>
      <c r="T19" s="505"/>
      <c r="U19" s="559"/>
      <c r="V19" s="566"/>
      <c r="W19" s="507"/>
      <c r="X19" s="567"/>
    </row>
    <row r="20" spans="1:24">
      <c r="A20" s="500" t="s">
        <v>218</v>
      </c>
      <c r="B20" s="500" t="s">
        <v>201</v>
      </c>
      <c r="C20" s="511"/>
      <c r="D20" s="517">
        <v>12</v>
      </c>
      <c r="E20" s="500">
        <v>11</v>
      </c>
      <c r="F20" s="518">
        <f t="shared" si="0"/>
        <v>0.91666666666666663</v>
      </c>
      <c r="G20" s="526">
        <v>9</v>
      </c>
      <c r="H20" s="501">
        <v>9</v>
      </c>
      <c r="I20" s="527">
        <f t="shared" si="1"/>
        <v>1</v>
      </c>
      <c r="J20" s="534"/>
      <c r="K20" s="502"/>
      <c r="L20" s="535"/>
      <c r="M20" s="542"/>
      <c r="N20" s="503"/>
      <c r="O20" s="543"/>
      <c r="P20" s="550"/>
      <c r="Q20" s="504"/>
      <c r="R20" s="551"/>
      <c r="S20" s="558"/>
      <c r="T20" s="505"/>
      <c r="U20" s="559"/>
      <c r="V20" s="566"/>
      <c r="W20" s="507"/>
      <c r="X20" s="567"/>
    </row>
    <row r="21" spans="1:24">
      <c r="A21" s="500" t="s">
        <v>219</v>
      </c>
      <c r="B21" s="500" t="s">
        <v>203</v>
      </c>
      <c r="C21" s="511"/>
      <c r="D21" s="517">
        <v>14</v>
      </c>
      <c r="E21" s="500">
        <v>12</v>
      </c>
      <c r="F21" s="518">
        <f t="shared" si="0"/>
        <v>0.8571428571428571</v>
      </c>
      <c r="G21" s="526">
        <v>23</v>
      </c>
      <c r="H21" s="501">
        <v>19</v>
      </c>
      <c r="I21" s="527">
        <f t="shared" si="1"/>
        <v>0.82608695652173914</v>
      </c>
      <c r="J21" s="534"/>
      <c r="K21" s="502"/>
      <c r="L21" s="535"/>
      <c r="M21" s="542"/>
      <c r="N21" s="503"/>
      <c r="O21" s="543"/>
      <c r="P21" s="550"/>
      <c r="Q21" s="504"/>
      <c r="R21" s="551"/>
      <c r="S21" s="558"/>
      <c r="T21" s="505"/>
      <c r="U21" s="559"/>
      <c r="V21" s="566"/>
      <c r="W21" s="507"/>
      <c r="X21" s="567"/>
    </row>
    <row r="22" spans="1:24">
      <c r="A22" s="508" t="s">
        <v>220</v>
      </c>
      <c r="B22" s="508" t="s">
        <v>205</v>
      </c>
      <c r="C22" s="512"/>
      <c r="D22" s="517" t="s">
        <v>197</v>
      </c>
      <c r="E22" s="500"/>
      <c r="F22" s="518"/>
      <c r="G22" s="526" t="s">
        <v>221</v>
      </c>
      <c r="H22" s="501"/>
      <c r="I22" s="527"/>
      <c r="J22" s="534">
        <v>9</v>
      </c>
      <c r="K22" s="502">
        <v>9</v>
      </c>
      <c r="L22" s="535">
        <f t="shared" si="2"/>
        <v>1</v>
      </c>
      <c r="M22" s="542"/>
      <c r="N22" s="503"/>
      <c r="O22" s="543"/>
      <c r="P22" s="550"/>
      <c r="Q22" s="504"/>
      <c r="R22" s="551"/>
      <c r="S22" s="558"/>
      <c r="T22" s="505"/>
      <c r="U22" s="559"/>
      <c r="V22" s="566"/>
      <c r="W22" s="507"/>
      <c r="X22" s="567"/>
    </row>
    <row r="23" spans="1:24">
      <c r="A23" s="508" t="s">
        <v>222</v>
      </c>
      <c r="B23" s="508" t="s">
        <v>207</v>
      </c>
      <c r="C23" s="512"/>
      <c r="D23" s="517" t="s">
        <v>197</v>
      </c>
      <c r="E23" s="500"/>
      <c r="F23" s="518"/>
      <c r="G23" s="526" t="s">
        <v>221</v>
      </c>
      <c r="H23" s="501"/>
      <c r="I23" s="527"/>
      <c r="J23" s="534">
        <v>7</v>
      </c>
      <c r="K23" s="502">
        <v>5</v>
      </c>
      <c r="L23" s="535">
        <f t="shared" si="2"/>
        <v>0.7142857142857143</v>
      </c>
      <c r="M23" s="542"/>
      <c r="N23" s="503"/>
      <c r="O23" s="543"/>
      <c r="P23" s="550"/>
      <c r="Q23" s="504"/>
      <c r="R23" s="551"/>
      <c r="S23" s="558"/>
      <c r="T23" s="505"/>
      <c r="U23" s="559"/>
      <c r="V23" s="566"/>
      <c r="W23" s="507"/>
      <c r="X23" s="567"/>
    </row>
    <row r="24" spans="1:24">
      <c r="A24" s="508" t="s">
        <v>223</v>
      </c>
      <c r="B24" s="508" t="s">
        <v>209</v>
      </c>
      <c r="C24" s="512"/>
      <c r="D24" s="517" t="s">
        <v>197</v>
      </c>
      <c r="E24" s="500"/>
      <c r="F24" s="518"/>
      <c r="G24" s="526">
        <v>0</v>
      </c>
      <c r="H24" s="501">
        <v>0</v>
      </c>
      <c r="I24" s="527"/>
      <c r="J24" s="534">
        <v>2</v>
      </c>
      <c r="K24" s="502">
        <v>1</v>
      </c>
      <c r="L24" s="535">
        <f t="shared" si="2"/>
        <v>0.5</v>
      </c>
      <c r="M24" s="542"/>
      <c r="N24" s="503"/>
      <c r="O24" s="543"/>
      <c r="P24" s="550"/>
      <c r="Q24" s="504"/>
      <c r="R24" s="551"/>
      <c r="S24" s="558"/>
      <c r="T24" s="505"/>
      <c r="U24" s="559"/>
      <c r="V24" s="566"/>
      <c r="W24" s="507"/>
      <c r="X24" s="567"/>
    </row>
    <row r="25" spans="1:24">
      <c r="A25" s="508" t="s">
        <v>224</v>
      </c>
      <c r="B25" s="508" t="s">
        <v>225</v>
      </c>
      <c r="C25" s="512"/>
      <c r="D25" s="517" t="s">
        <v>197</v>
      </c>
      <c r="E25" s="500"/>
      <c r="F25" s="518"/>
      <c r="G25" s="526">
        <v>25</v>
      </c>
      <c r="H25" s="501">
        <v>23</v>
      </c>
      <c r="I25" s="527">
        <f t="shared" si="1"/>
        <v>0.92</v>
      </c>
      <c r="J25" s="534">
        <v>32</v>
      </c>
      <c r="K25" s="502">
        <v>30</v>
      </c>
      <c r="L25" s="535">
        <f t="shared" si="2"/>
        <v>0.9375</v>
      </c>
      <c r="M25" s="542">
        <v>30</v>
      </c>
      <c r="N25" s="503">
        <v>28</v>
      </c>
      <c r="O25" s="543"/>
      <c r="P25" s="550">
        <v>34</v>
      </c>
      <c r="Q25" s="504">
        <v>31</v>
      </c>
      <c r="R25" s="551"/>
      <c r="S25" s="558"/>
      <c r="T25" s="505"/>
      <c r="U25" s="559"/>
      <c r="V25" s="566"/>
      <c r="W25" s="507"/>
      <c r="X25" s="567"/>
    </row>
    <row r="26" spans="1:24">
      <c r="A26" s="508" t="s">
        <v>226</v>
      </c>
      <c r="B26" s="508" t="s">
        <v>227</v>
      </c>
      <c r="C26" s="512"/>
      <c r="D26" s="517" t="s">
        <v>197</v>
      </c>
      <c r="E26" s="500"/>
      <c r="F26" s="518"/>
      <c r="G26" s="526" t="s">
        <v>197</v>
      </c>
      <c r="H26" s="501"/>
      <c r="I26" s="527"/>
      <c r="J26" s="534">
        <v>33</v>
      </c>
      <c r="K26" s="502">
        <v>33</v>
      </c>
      <c r="L26" s="535">
        <f t="shared" si="2"/>
        <v>1</v>
      </c>
      <c r="M26" s="542">
        <v>31</v>
      </c>
      <c r="N26" s="503">
        <v>30</v>
      </c>
      <c r="O26" s="543"/>
      <c r="P26" s="550">
        <v>28</v>
      </c>
      <c r="Q26" s="504">
        <v>28</v>
      </c>
      <c r="R26" s="551"/>
      <c r="S26" s="558"/>
      <c r="T26" s="505"/>
      <c r="U26" s="559"/>
      <c r="V26" s="566"/>
      <c r="W26" s="507"/>
      <c r="X26" s="567"/>
    </row>
    <row r="27" spans="1:24">
      <c r="A27" s="508" t="s">
        <v>217</v>
      </c>
      <c r="B27" s="508" t="s">
        <v>199</v>
      </c>
      <c r="C27" s="512"/>
      <c r="D27" s="517" t="s">
        <v>197</v>
      </c>
      <c r="E27" s="500"/>
      <c r="F27" s="518"/>
      <c r="G27" s="526" t="s">
        <v>197</v>
      </c>
      <c r="H27" s="501"/>
      <c r="I27" s="527"/>
      <c r="J27" s="534" t="s">
        <v>93</v>
      </c>
      <c r="K27" s="502"/>
      <c r="L27" s="535"/>
      <c r="M27" s="542">
        <v>18</v>
      </c>
      <c r="N27" s="503">
        <v>16</v>
      </c>
      <c r="O27" s="543"/>
      <c r="P27" s="550" t="s">
        <v>228</v>
      </c>
      <c r="Q27" s="504"/>
      <c r="R27" s="551"/>
      <c r="S27" s="558">
        <v>11</v>
      </c>
      <c r="T27" s="505">
        <v>9</v>
      </c>
      <c r="U27" s="559">
        <f>9/11</f>
        <v>0.81818181818181823</v>
      </c>
      <c r="V27" s="566" t="s">
        <v>93</v>
      </c>
      <c r="W27" s="507"/>
      <c r="X27" s="567"/>
    </row>
    <row r="28" spans="1:24">
      <c r="A28" s="508" t="s">
        <v>229</v>
      </c>
      <c r="B28" s="508" t="s">
        <v>211</v>
      </c>
      <c r="C28" s="512"/>
      <c r="D28" s="517" t="s">
        <v>197</v>
      </c>
      <c r="E28" s="500"/>
      <c r="F28" s="518"/>
      <c r="G28" s="526" t="s">
        <v>197</v>
      </c>
      <c r="H28" s="501"/>
      <c r="I28" s="527"/>
      <c r="J28" s="534" t="s">
        <v>93</v>
      </c>
      <c r="K28" s="502"/>
      <c r="L28" s="535"/>
      <c r="M28" s="542" t="s">
        <v>93</v>
      </c>
      <c r="N28" s="503"/>
      <c r="O28" s="543"/>
      <c r="P28" s="550">
        <v>2</v>
      </c>
      <c r="Q28" s="504">
        <v>1</v>
      </c>
      <c r="R28" s="551"/>
      <c r="S28" s="558"/>
      <c r="T28" s="505"/>
      <c r="U28" s="559"/>
      <c r="V28" s="566"/>
      <c r="W28" s="507"/>
      <c r="X28" s="567"/>
    </row>
    <row r="29" spans="1:24">
      <c r="A29" s="508" t="s">
        <v>230</v>
      </c>
      <c r="B29" s="508" t="s">
        <v>231</v>
      </c>
      <c r="C29" s="512"/>
      <c r="D29" s="517" t="s">
        <v>197</v>
      </c>
      <c r="E29" s="500"/>
      <c r="F29" s="518"/>
      <c r="G29" s="526" t="s">
        <v>197</v>
      </c>
      <c r="H29" s="501"/>
      <c r="I29" s="527"/>
      <c r="J29" s="534" t="s">
        <v>93</v>
      </c>
      <c r="K29" s="502"/>
      <c r="L29" s="535"/>
      <c r="M29" s="542" t="s">
        <v>93</v>
      </c>
      <c r="N29" s="503"/>
      <c r="O29" s="543"/>
      <c r="P29" s="550">
        <v>2</v>
      </c>
      <c r="Q29" s="504">
        <v>2</v>
      </c>
      <c r="R29" s="551"/>
      <c r="S29" s="558"/>
      <c r="T29" s="505"/>
      <c r="U29" s="559"/>
      <c r="V29" s="566"/>
      <c r="W29" s="507"/>
      <c r="X29" s="567"/>
    </row>
    <row r="30" spans="1:24">
      <c r="A30" s="508" t="s">
        <v>232</v>
      </c>
      <c r="B30" s="508" t="s">
        <v>213</v>
      </c>
      <c r="C30" s="512"/>
      <c r="D30" s="517" t="s">
        <v>197</v>
      </c>
      <c r="E30" s="500"/>
      <c r="F30" s="518"/>
      <c r="G30" s="526" t="s">
        <v>197</v>
      </c>
      <c r="H30" s="501"/>
      <c r="I30" s="527"/>
      <c r="J30" s="534" t="s">
        <v>93</v>
      </c>
      <c r="K30" s="502"/>
      <c r="L30" s="535"/>
      <c r="M30" s="542">
        <v>2</v>
      </c>
      <c r="N30" s="503">
        <v>2</v>
      </c>
      <c r="O30" s="543"/>
      <c r="P30" s="550" t="s">
        <v>93</v>
      </c>
      <c r="Q30" s="504"/>
      <c r="R30" s="551"/>
      <c r="S30" s="558">
        <v>9</v>
      </c>
      <c r="T30" s="505">
        <v>8</v>
      </c>
      <c r="U30" s="559">
        <f>8/9</f>
        <v>0.88888888888888884</v>
      </c>
      <c r="V30" s="568">
        <v>6</v>
      </c>
      <c r="W30" s="506">
        <v>4</v>
      </c>
      <c r="X30" s="567">
        <f>4/6</f>
        <v>0.66666666666666663</v>
      </c>
    </row>
    <row r="31" spans="1:24">
      <c r="A31" s="500" t="s">
        <v>233</v>
      </c>
      <c r="B31" s="500" t="s">
        <v>234</v>
      </c>
      <c r="C31" s="511"/>
      <c r="D31" s="517">
        <v>2</v>
      </c>
      <c r="E31" s="500">
        <v>2</v>
      </c>
      <c r="F31" s="518">
        <f t="shared" si="0"/>
        <v>1</v>
      </c>
      <c r="G31" s="526">
        <v>1</v>
      </c>
      <c r="H31" s="501">
        <v>1</v>
      </c>
      <c r="I31" s="527">
        <f t="shared" si="1"/>
        <v>1</v>
      </c>
      <c r="J31" s="534">
        <v>2</v>
      </c>
      <c r="K31" s="502">
        <v>2</v>
      </c>
      <c r="L31" s="535">
        <f t="shared" si="2"/>
        <v>1</v>
      </c>
      <c r="M31" s="542">
        <v>8</v>
      </c>
      <c r="N31" s="503">
        <v>7</v>
      </c>
      <c r="O31" s="543"/>
      <c r="P31" s="550"/>
      <c r="Q31" s="504">
        <v>1</v>
      </c>
      <c r="R31" s="551"/>
      <c r="S31" s="558">
        <v>11</v>
      </c>
      <c r="T31" s="505">
        <v>11</v>
      </c>
      <c r="U31" s="559">
        <v>1</v>
      </c>
      <c r="V31" s="568">
        <v>7</v>
      </c>
      <c r="W31" s="506">
        <v>7</v>
      </c>
      <c r="X31" s="567">
        <v>1</v>
      </c>
    </row>
    <row r="32" spans="1:24">
      <c r="A32" s="500" t="s">
        <v>224</v>
      </c>
      <c r="B32" s="500" t="s">
        <v>235</v>
      </c>
      <c r="C32" s="511"/>
      <c r="D32" s="517">
        <v>28</v>
      </c>
      <c r="E32" s="500">
        <v>27</v>
      </c>
      <c r="F32" s="518">
        <f t="shared" si="0"/>
        <v>0.9642857142857143</v>
      </c>
      <c r="G32" s="526"/>
      <c r="H32" s="501"/>
      <c r="I32" s="527"/>
      <c r="J32" s="534"/>
      <c r="K32" s="502"/>
      <c r="L32" s="535"/>
      <c r="M32" s="542"/>
      <c r="N32" s="503"/>
      <c r="O32" s="543"/>
      <c r="P32" s="550"/>
      <c r="Q32" s="504"/>
      <c r="R32" s="551"/>
      <c r="S32" s="558"/>
      <c r="T32" s="505"/>
      <c r="U32" s="559"/>
      <c r="V32" s="568"/>
      <c r="W32" s="506"/>
      <c r="X32" s="567"/>
    </row>
    <row r="33" spans="1:24">
      <c r="A33" s="500" t="s">
        <v>236</v>
      </c>
      <c r="B33" s="500" t="s">
        <v>237</v>
      </c>
      <c r="C33" s="511"/>
      <c r="D33" s="517">
        <v>76</v>
      </c>
      <c r="E33" s="500">
        <v>53</v>
      </c>
      <c r="F33" s="518">
        <f t="shared" si="0"/>
        <v>0.69736842105263153</v>
      </c>
      <c r="G33" s="526">
        <v>70</v>
      </c>
      <c r="H33" s="501">
        <v>39</v>
      </c>
      <c r="I33" s="527">
        <f t="shared" si="1"/>
        <v>0.55714285714285716</v>
      </c>
      <c r="J33" s="534">
        <v>63</v>
      </c>
      <c r="K33" s="502">
        <v>42</v>
      </c>
      <c r="L33" s="535">
        <f t="shared" si="2"/>
        <v>0.66666666666666663</v>
      </c>
      <c r="M33" s="542" t="s">
        <v>93</v>
      </c>
      <c r="N33" s="503"/>
      <c r="O33" s="543"/>
      <c r="P33" s="550">
        <v>61</v>
      </c>
      <c r="Q33" s="504">
        <v>51</v>
      </c>
      <c r="R33" s="551"/>
      <c r="S33" s="558"/>
      <c r="T33" s="505"/>
      <c r="U33" s="559"/>
      <c r="V33" s="568"/>
      <c r="W33" s="506"/>
      <c r="X33" s="567"/>
    </row>
    <row r="34" spans="1:24">
      <c r="A34" s="500" t="s">
        <v>238</v>
      </c>
      <c r="B34" s="500" t="s">
        <v>239</v>
      </c>
      <c r="C34" s="511"/>
      <c r="D34" s="517">
        <v>56</v>
      </c>
      <c r="E34" s="500">
        <v>48</v>
      </c>
      <c r="F34" s="518">
        <f t="shared" si="0"/>
        <v>0.8571428571428571</v>
      </c>
      <c r="G34" s="526">
        <v>68</v>
      </c>
      <c r="H34" s="501">
        <v>59</v>
      </c>
      <c r="I34" s="527">
        <f t="shared" si="1"/>
        <v>0.86764705882352944</v>
      </c>
      <c r="J34" s="534">
        <v>56</v>
      </c>
      <c r="K34" s="502">
        <v>47</v>
      </c>
      <c r="L34" s="535">
        <f t="shared" si="2"/>
        <v>0.8392857142857143</v>
      </c>
      <c r="M34" s="542"/>
      <c r="N34" s="503"/>
      <c r="O34" s="543"/>
      <c r="P34" s="550"/>
      <c r="Q34" s="504"/>
      <c r="R34" s="551"/>
      <c r="S34" s="558"/>
      <c r="T34" s="505"/>
      <c r="U34" s="559"/>
      <c r="V34" s="568"/>
      <c r="W34" s="506"/>
      <c r="X34" s="567"/>
    </row>
    <row r="35" spans="1:24">
      <c r="A35" s="500" t="s">
        <v>240</v>
      </c>
      <c r="B35" s="500" t="s">
        <v>239</v>
      </c>
      <c r="C35" s="511"/>
      <c r="D35" s="517">
        <v>5</v>
      </c>
      <c r="E35" s="500">
        <v>5</v>
      </c>
      <c r="F35" s="518">
        <f t="shared" si="0"/>
        <v>1</v>
      </c>
      <c r="G35" s="526">
        <v>16</v>
      </c>
      <c r="H35" s="501">
        <v>15</v>
      </c>
      <c r="I35" s="527">
        <f t="shared" si="1"/>
        <v>0.9375</v>
      </c>
      <c r="J35" s="534">
        <v>11</v>
      </c>
      <c r="K35" s="502">
        <v>9</v>
      </c>
      <c r="L35" s="535">
        <f t="shared" si="2"/>
        <v>0.81818181818181823</v>
      </c>
      <c r="M35" s="542"/>
      <c r="N35" s="503"/>
      <c r="O35" s="543"/>
      <c r="P35" s="550"/>
      <c r="Q35" s="504"/>
      <c r="R35" s="551"/>
      <c r="S35" s="558"/>
      <c r="T35" s="505"/>
      <c r="U35" s="559"/>
      <c r="V35" s="568"/>
      <c r="W35" s="506"/>
      <c r="X35" s="567"/>
    </row>
    <row r="36" spans="1:24">
      <c r="A36" s="508" t="s">
        <v>241</v>
      </c>
      <c r="B36" s="508" t="s">
        <v>242</v>
      </c>
      <c r="C36" s="512"/>
      <c r="D36" s="517" t="s">
        <v>197</v>
      </c>
      <c r="E36" s="500"/>
      <c r="F36" s="518"/>
      <c r="G36" s="526" t="s">
        <v>197</v>
      </c>
      <c r="H36" s="501"/>
      <c r="I36" s="527"/>
      <c r="J36" s="534" t="s">
        <v>93</v>
      </c>
      <c r="K36" s="502"/>
      <c r="L36" s="535"/>
      <c r="M36" s="542" t="s">
        <v>93</v>
      </c>
      <c r="N36" s="503"/>
      <c r="O36" s="543"/>
      <c r="P36" s="550" t="s">
        <v>93</v>
      </c>
      <c r="Q36" s="504"/>
      <c r="R36" s="551"/>
      <c r="S36" s="558">
        <v>32</v>
      </c>
      <c r="T36" s="505">
        <v>22</v>
      </c>
      <c r="U36" s="559">
        <f>22/32</f>
        <v>0.6875</v>
      </c>
      <c r="V36" s="568">
        <v>37</v>
      </c>
      <c r="W36" s="506">
        <v>35</v>
      </c>
      <c r="X36" s="567">
        <f>37/35</f>
        <v>1.0571428571428572</v>
      </c>
    </row>
    <row r="37" spans="1:24">
      <c r="A37" s="508" t="s">
        <v>243</v>
      </c>
      <c r="B37" s="508" t="s">
        <v>242</v>
      </c>
      <c r="C37" s="513"/>
      <c r="D37" s="519" t="s">
        <v>197</v>
      </c>
      <c r="E37" s="509"/>
      <c r="F37" s="518"/>
      <c r="G37" s="526" t="s">
        <v>197</v>
      </c>
      <c r="H37" s="501"/>
      <c r="I37" s="527"/>
      <c r="J37" s="534" t="s">
        <v>93</v>
      </c>
      <c r="K37" s="502"/>
      <c r="L37" s="535"/>
      <c r="M37" s="542" t="s">
        <v>93</v>
      </c>
      <c r="N37" s="503"/>
      <c r="O37" s="543"/>
      <c r="P37" s="550" t="s">
        <v>93</v>
      </c>
      <c r="Q37" s="504"/>
      <c r="R37" s="551"/>
      <c r="S37" s="558">
        <v>1</v>
      </c>
      <c r="T37" s="505">
        <v>1</v>
      </c>
      <c r="U37" s="559">
        <v>1</v>
      </c>
      <c r="V37" s="568">
        <v>7</v>
      </c>
      <c r="W37" s="506">
        <v>4</v>
      </c>
      <c r="X37" s="567">
        <f>4/7</f>
        <v>0.5714285714285714</v>
      </c>
    </row>
    <row r="38" spans="1:24" ht="15.75" thickBot="1">
      <c r="A38" s="500" t="s">
        <v>244</v>
      </c>
      <c r="B38" s="500" t="s">
        <v>245</v>
      </c>
      <c r="C38" s="511"/>
      <c r="D38" s="520">
        <v>2</v>
      </c>
      <c r="E38" s="521">
        <v>2</v>
      </c>
      <c r="F38" s="522">
        <f t="shared" si="0"/>
        <v>1</v>
      </c>
      <c r="G38" s="528">
        <v>2</v>
      </c>
      <c r="H38" s="529">
        <v>2</v>
      </c>
      <c r="I38" s="530">
        <f t="shared" si="1"/>
        <v>1</v>
      </c>
      <c r="J38" s="536" t="s">
        <v>93</v>
      </c>
      <c r="K38" s="537"/>
      <c r="L38" s="538"/>
      <c r="M38" s="544">
        <v>4</v>
      </c>
      <c r="N38" s="545">
        <v>4</v>
      </c>
      <c r="O38" s="546"/>
      <c r="P38" s="552"/>
      <c r="Q38" s="553">
        <v>3</v>
      </c>
      <c r="R38" s="554"/>
      <c r="S38" s="560">
        <v>3</v>
      </c>
      <c r="T38" s="561">
        <v>2</v>
      </c>
      <c r="U38" s="562">
        <f>2/3</f>
        <v>0.66666666666666663</v>
      </c>
      <c r="V38" s="569">
        <v>3</v>
      </c>
      <c r="W38" s="570">
        <v>3</v>
      </c>
      <c r="X38" s="571">
        <v>1</v>
      </c>
    </row>
    <row r="39" spans="1:24" ht="15.75" thickBot="1">
      <c r="A39" s="500"/>
      <c r="B39" s="510" t="s">
        <v>47</v>
      </c>
      <c r="C39" s="572"/>
      <c r="D39" s="573">
        <f>SUM(D5:D38)</f>
        <v>729</v>
      </c>
      <c r="E39" s="574">
        <f>SUM(E5:E38)</f>
        <v>615</v>
      </c>
      <c r="F39" s="575">
        <f t="shared" si="0"/>
        <v>0.84362139917695478</v>
      </c>
      <c r="G39" s="576">
        <f>SUM(G5:G38)</f>
        <v>814</v>
      </c>
      <c r="H39" s="577">
        <f>SUM(H5:H38)</f>
        <v>642</v>
      </c>
      <c r="I39" s="578">
        <f t="shared" si="1"/>
        <v>0.78869778869778873</v>
      </c>
      <c r="J39" s="579">
        <f>SUM(J5:J38)</f>
        <v>717</v>
      </c>
      <c r="K39" s="580">
        <f>SUM(K5:K38)</f>
        <v>608</v>
      </c>
      <c r="L39" s="581">
        <f>K39/J39</f>
        <v>0.84797768479776847</v>
      </c>
      <c r="M39" s="582">
        <f>SUM(M5:M38)</f>
        <v>494</v>
      </c>
      <c r="N39" s="583">
        <f>SUM(N5:N38)</f>
        <v>453</v>
      </c>
      <c r="O39" s="584">
        <v>0.91</v>
      </c>
      <c r="P39" s="585">
        <f>SUM(P5:P38)</f>
        <v>519</v>
      </c>
      <c r="Q39" s="586">
        <f>SUM(Q5:Q38)</f>
        <v>485</v>
      </c>
      <c r="R39" s="587">
        <f>550/589</f>
        <v>0.93378607809847203</v>
      </c>
      <c r="S39" s="588">
        <v>532</v>
      </c>
      <c r="T39" s="589">
        <v>464</v>
      </c>
      <c r="U39" s="590">
        <f>464/532</f>
        <v>0.8721804511278195</v>
      </c>
      <c r="V39" s="591">
        <f>SUM(V5:V38)</f>
        <v>369</v>
      </c>
      <c r="W39" s="592">
        <f>SUM(W5:W38)</f>
        <v>302</v>
      </c>
      <c r="X39" s="593">
        <f>302/369</f>
        <v>0.81842818428184283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11"/>
  <sheetViews>
    <sheetView workbookViewId="0">
      <selection activeCell="V4" sqref="V4:X10"/>
    </sheetView>
  </sheetViews>
  <sheetFormatPr baseColWidth="10" defaultColWidth="8.7109375" defaultRowHeight="15"/>
  <cols>
    <col min="1" max="1" width="11.140625" customWidth="1"/>
  </cols>
  <sheetData>
    <row r="1" spans="1:24">
      <c r="A1" s="1" t="s">
        <v>187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5.75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5.75" thickBot="1">
      <c r="A3" s="143"/>
      <c r="B3" s="85"/>
      <c r="C3" s="144"/>
      <c r="D3" s="486" t="s">
        <v>3</v>
      </c>
      <c r="E3" s="487"/>
      <c r="F3" s="488"/>
      <c r="G3" s="477" t="s">
        <v>4</v>
      </c>
      <c r="H3" s="478"/>
      <c r="I3" s="479"/>
      <c r="J3" s="307" t="s">
        <v>5</v>
      </c>
      <c r="K3" s="299"/>
      <c r="L3" s="308"/>
      <c r="M3" s="241"/>
      <c r="N3" s="244" t="s">
        <v>6</v>
      </c>
      <c r="O3" s="246"/>
      <c r="P3" s="242"/>
      <c r="Q3" s="65" t="s">
        <v>7</v>
      </c>
      <c r="R3" s="146"/>
      <c r="S3" s="101"/>
      <c r="T3" s="101" t="s">
        <v>8</v>
      </c>
      <c r="U3" s="101"/>
      <c r="V3" s="71"/>
      <c r="W3" s="71" t="s">
        <v>9</v>
      </c>
      <c r="X3" s="203"/>
    </row>
    <row r="4" spans="1:24">
      <c r="A4" s="63" t="s">
        <v>246</v>
      </c>
      <c r="B4" s="451"/>
      <c r="C4" s="451"/>
      <c r="D4" s="493" t="s">
        <v>11</v>
      </c>
      <c r="E4" s="494" t="s">
        <v>12</v>
      </c>
      <c r="F4" s="495" t="s">
        <v>13</v>
      </c>
      <c r="G4" s="489" t="s">
        <v>11</v>
      </c>
      <c r="H4" s="490" t="s">
        <v>12</v>
      </c>
      <c r="I4" s="491" t="s">
        <v>13</v>
      </c>
      <c r="J4" s="359" t="s">
        <v>11</v>
      </c>
      <c r="K4" s="302" t="s">
        <v>12</v>
      </c>
      <c r="L4" s="361" t="s">
        <v>13</v>
      </c>
      <c r="M4" s="145" t="s">
        <v>15</v>
      </c>
      <c r="N4" s="452" t="s">
        <v>12</v>
      </c>
      <c r="O4" s="602" t="s">
        <v>13</v>
      </c>
      <c r="P4" s="145" t="s">
        <v>15</v>
      </c>
      <c r="Q4" s="452" t="s">
        <v>12</v>
      </c>
      <c r="R4" s="602" t="s">
        <v>13</v>
      </c>
      <c r="S4" s="147" t="s">
        <v>15</v>
      </c>
      <c r="T4" s="453" t="s">
        <v>12</v>
      </c>
      <c r="U4" s="605" t="s">
        <v>13</v>
      </c>
      <c r="V4" s="202" t="s">
        <v>15</v>
      </c>
      <c r="W4" s="454" t="s">
        <v>12</v>
      </c>
      <c r="X4" s="455" t="s">
        <v>13</v>
      </c>
    </row>
    <row r="5" spans="1:24">
      <c r="A5" s="448" t="s">
        <v>247</v>
      </c>
      <c r="B5" s="36" t="s">
        <v>248</v>
      </c>
      <c r="C5" s="36"/>
      <c r="D5" s="517">
        <v>39</v>
      </c>
      <c r="E5" s="500">
        <v>37</v>
      </c>
      <c r="F5" s="518">
        <f>E5/D5</f>
        <v>0.94871794871794868</v>
      </c>
      <c r="G5" s="526">
        <v>49</v>
      </c>
      <c r="H5" s="501">
        <v>43</v>
      </c>
      <c r="I5" s="527">
        <f>H5/G5</f>
        <v>0.87755102040816324</v>
      </c>
      <c r="J5" s="534">
        <v>38</v>
      </c>
      <c r="K5" s="502">
        <v>34</v>
      </c>
      <c r="L5" s="535">
        <f t="shared" ref="L5:L11" si="0">K5/J5</f>
        <v>0.89473684210526316</v>
      </c>
      <c r="M5" s="542">
        <v>32</v>
      </c>
      <c r="N5" s="503">
        <v>27</v>
      </c>
      <c r="O5" s="543"/>
      <c r="P5" s="550">
        <v>42</v>
      </c>
      <c r="Q5" s="504">
        <v>32</v>
      </c>
      <c r="R5" s="603">
        <v>0.76</v>
      </c>
      <c r="S5" s="606">
        <v>41</v>
      </c>
      <c r="T5" s="601">
        <v>34</v>
      </c>
      <c r="U5" s="607">
        <f>34/41</f>
        <v>0.82926829268292679</v>
      </c>
      <c r="V5" s="568">
        <v>30</v>
      </c>
      <c r="W5" s="506">
        <v>23</v>
      </c>
      <c r="X5" s="567">
        <f>23/30</f>
        <v>0.76666666666666672</v>
      </c>
    </row>
    <row r="6" spans="1:24">
      <c r="A6" s="448" t="s">
        <v>249</v>
      </c>
      <c r="B6" s="36" t="s">
        <v>250</v>
      </c>
      <c r="C6" s="36"/>
      <c r="D6" s="517">
        <v>42</v>
      </c>
      <c r="E6" s="500">
        <v>37</v>
      </c>
      <c r="F6" s="518">
        <f t="shared" ref="F6:F11" si="1">E6/D6</f>
        <v>0.88095238095238093</v>
      </c>
      <c r="G6" s="526">
        <v>48</v>
      </c>
      <c r="H6" s="501">
        <v>46</v>
      </c>
      <c r="I6" s="527">
        <f t="shared" ref="I6:I11" si="2">H6/G6</f>
        <v>0.95833333333333337</v>
      </c>
      <c r="J6" s="534">
        <v>39</v>
      </c>
      <c r="K6" s="502">
        <v>34</v>
      </c>
      <c r="L6" s="535">
        <f t="shared" si="0"/>
        <v>0.87179487179487181</v>
      </c>
      <c r="M6" s="542">
        <v>34</v>
      </c>
      <c r="N6" s="503">
        <v>27</v>
      </c>
      <c r="O6" s="543"/>
      <c r="P6" s="550">
        <v>34</v>
      </c>
      <c r="Q6" s="504">
        <v>30</v>
      </c>
      <c r="R6" s="603">
        <v>0.88</v>
      </c>
      <c r="S6" s="606">
        <v>40</v>
      </c>
      <c r="T6" s="601">
        <v>29</v>
      </c>
      <c r="U6" s="607">
        <f>29/40</f>
        <v>0.72499999999999998</v>
      </c>
      <c r="V6" s="568">
        <v>30</v>
      </c>
      <c r="W6" s="506">
        <v>20</v>
      </c>
      <c r="X6" s="567">
        <f>20/30</f>
        <v>0.66666666666666663</v>
      </c>
    </row>
    <row r="7" spans="1:24">
      <c r="A7" s="448" t="s">
        <v>251</v>
      </c>
      <c r="B7" s="36" t="s">
        <v>252</v>
      </c>
      <c r="C7" s="36"/>
      <c r="D7" s="517">
        <v>29</v>
      </c>
      <c r="E7" s="500">
        <v>25</v>
      </c>
      <c r="F7" s="518">
        <f t="shared" si="1"/>
        <v>0.86206896551724133</v>
      </c>
      <c r="G7" s="526">
        <v>25</v>
      </c>
      <c r="H7" s="501">
        <v>21</v>
      </c>
      <c r="I7" s="527">
        <f t="shared" si="2"/>
        <v>0.84</v>
      </c>
      <c r="J7" s="534">
        <v>22</v>
      </c>
      <c r="K7" s="502">
        <v>22</v>
      </c>
      <c r="L7" s="535">
        <f t="shared" si="0"/>
        <v>1</v>
      </c>
      <c r="M7" s="542">
        <v>28</v>
      </c>
      <c r="N7" s="503">
        <v>23</v>
      </c>
      <c r="O7" s="543"/>
      <c r="P7" s="550">
        <v>33</v>
      </c>
      <c r="Q7" s="504">
        <v>26</v>
      </c>
      <c r="R7" s="603">
        <v>0.79</v>
      </c>
      <c r="S7" s="606" t="s">
        <v>253</v>
      </c>
      <c r="T7" s="601"/>
      <c r="U7" s="607"/>
      <c r="V7" s="568">
        <v>31</v>
      </c>
      <c r="W7" s="506">
        <v>26</v>
      </c>
      <c r="X7" s="567">
        <f>26/31</f>
        <v>0.83870967741935487</v>
      </c>
    </row>
    <row r="8" spans="1:24">
      <c r="A8" s="448" t="s">
        <v>254</v>
      </c>
      <c r="B8" s="36" t="s">
        <v>255</v>
      </c>
      <c r="C8" s="36"/>
      <c r="D8" s="517">
        <v>42</v>
      </c>
      <c r="E8" s="500">
        <v>38</v>
      </c>
      <c r="F8" s="518">
        <f t="shared" si="1"/>
        <v>0.90476190476190477</v>
      </c>
      <c r="G8" s="526">
        <v>50</v>
      </c>
      <c r="H8" s="501">
        <v>46</v>
      </c>
      <c r="I8" s="527">
        <f t="shared" si="2"/>
        <v>0.92</v>
      </c>
      <c r="J8" s="534">
        <v>30</v>
      </c>
      <c r="K8" s="502">
        <v>27</v>
      </c>
      <c r="L8" s="535">
        <f t="shared" si="0"/>
        <v>0.9</v>
      </c>
      <c r="M8" s="542">
        <v>33</v>
      </c>
      <c r="N8" s="503">
        <v>28</v>
      </c>
      <c r="O8" s="543"/>
      <c r="P8" s="550">
        <v>36</v>
      </c>
      <c r="Q8" s="504">
        <v>29</v>
      </c>
      <c r="R8" s="603">
        <v>0.8</v>
      </c>
      <c r="S8" s="606">
        <v>50</v>
      </c>
      <c r="T8" s="601">
        <v>44</v>
      </c>
      <c r="U8" s="607">
        <f>44/50</f>
        <v>0.88</v>
      </c>
      <c r="V8" s="568">
        <v>35</v>
      </c>
      <c r="W8" s="506">
        <v>27</v>
      </c>
      <c r="X8" s="567">
        <f>27/35</f>
        <v>0.77142857142857146</v>
      </c>
    </row>
    <row r="9" spans="1:24">
      <c r="A9" s="448" t="s">
        <v>256</v>
      </c>
      <c r="B9" s="36" t="s">
        <v>257</v>
      </c>
      <c r="C9" s="36"/>
      <c r="D9" s="517">
        <v>43</v>
      </c>
      <c r="E9" s="500">
        <v>43</v>
      </c>
      <c r="F9" s="518">
        <f t="shared" si="1"/>
        <v>1</v>
      </c>
      <c r="G9" s="526">
        <v>28</v>
      </c>
      <c r="H9" s="501">
        <v>27</v>
      </c>
      <c r="I9" s="527">
        <f t="shared" si="2"/>
        <v>0.9642857142857143</v>
      </c>
      <c r="J9" s="534">
        <v>27</v>
      </c>
      <c r="K9" s="502">
        <v>24</v>
      </c>
      <c r="L9" s="535">
        <f t="shared" si="0"/>
        <v>0.88888888888888884</v>
      </c>
      <c r="M9" s="542">
        <v>30</v>
      </c>
      <c r="N9" s="503">
        <v>30</v>
      </c>
      <c r="O9" s="543"/>
      <c r="P9" s="550">
        <v>25</v>
      </c>
      <c r="Q9" s="504">
        <v>25</v>
      </c>
      <c r="R9" s="603">
        <v>1</v>
      </c>
      <c r="S9" s="606">
        <v>19</v>
      </c>
      <c r="T9" s="601">
        <v>19</v>
      </c>
      <c r="U9" s="607">
        <v>1</v>
      </c>
      <c r="V9" s="566" t="s">
        <v>93</v>
      </c>
      <c r="W9" s="507"/>
      <c r="X9" s="567"/>
    </row>
    <row r="10" spans="1:24" ht="15.75" thickBot="1">
      <c r="A10" s="449" t="s">
        <v>172</v>
      </c>
      <c r="B10" s="450" t="s">
        <v>258</v>
      </c>
      <c r="C10" s="450"/>
      <c r="D10" s="520" t="s">
        <v>259</v>
      </c>
      <c r="E10" s="521"/>
      <c r="F10" s="522"/>
      <c r="G10" s="528">
        <v>6</v>
      </c>
      <c r="H10" s="529">
        <v>6</v>
      </c>
      <c r="I10" s="530">
        <f t="shared" si="2"/>
        <v>1</v>
      </c>
      <c r="J10" s="536">
        <v>3</v>
      </c>
      <c r="K10" s="537">
        <v>2</v>
      </c>
      <c r="L10" s="538">
        <f t="shared" si="0"/>
        <v>0.66666666666666663</v>
      </c>
      <c r="M10" s="544">
        <v>13</v>
      </c>
      <c r="N10" s="545">
        <v>9</v>
      </c>
      <c r="O10" s="546"/>
      <c r="P10" s="552">
        <v>9</v>
      </c>
      <c r="Q10" s="553">
        <v>3</v>
      </c>
      <c r="R10" s="604"/>
      <c r="S10" s="608">
        <v>13</v>
      </c>
      <c r="T10" s="609">
        <v>8</v>
      </c>
      <c r="U10" s="610"/>
      <c r="V10" s="611">
        <v>16</v>
      </c>
      <c r="W10" s="612">
        <v>8</v>
      </c>
      <c r="X10" s="571"/>
    </row>
    <row r="11" spans="1:24" ht="15.75" thickBot="1">
      <c r="A11" s="153"/>
      <c r="B11" s="74" t="s">
        <v>47</v>
      </c>
      <c r="C11" s="74"/>
      <c r="D11" s="594">
        <f>SUM(D5:D10)</f>
        <v>195</v>
      </c>
      <c r="E11" s="74">
        <f>SUM(E5:E10)</f>
        <v>180</v>
      </c>
      <c r="F11" s="595">
        <f t="shared" si="1"/>
        <v>0.92307692307692313</v>
      </c>
      <c r="G11" s="596">
        <f>SUM(G5:G10)</f>
        <v>206</v>
      </c>
      <c r="H11" s="597">
        <f>SUM(H5:H10)</f>
        <v>189</v>
      </c>
      <c r="I11" s="598">
        <f t="shared" si="2"/>
        <v>0.91747572815533984</v>
      </c>
      <c r="J11" s="599">
        <f>SUM(J5:J10)</f>
        <v>159</v>
      </c>
      <c r="K11" s="599">
        <f>SUM(K5:K9)</f>
        <v>141</v>
      </c>
      <c r="L11" s="600">
        <f t="shared" si="0"/>
        <v>0.8867924528301887</v>
      </c>
      <c r="M11" s="444">
        <f>SUM(M5:M10)</f>
        <v>170</v>
      </c>
      <c r="N11" s="444">
        <f>SUM(N5:N9)</f>
        <v>135</v>
      </c>
      <c r="O11" s="445">
        <v>0.86</v>
      </c>
      <c r="P11" s="266">
        <f>SUM(P5:P10)</f>
        <v>179</v>
      </c>
      <c r="Q11" s="266">
        <f>SUM(Q5:Q9)</f>
        <v>142</v>
      </c>
      <c r="R11" s="446">
        <f>156/192</f>
        <v>0.8125</v>
      </c>
      <c r="S11" s="422">
        <f>SUM(S5:S10)</f>
        <v>163</v>
      </c>
      <c r="T11" s="422">
        <f>SUM(T5:T9)</f>
        <v>126</v>
      </c>
      <c r="U11" s="447">
        <f>141/169</f>
        <v>0.83431952662721898</v>
      </c>
      <c r="V11" s="437">
        <f>SUM(V5:V10)</f>
        <v>142</v>
      </c>
      <c r="W11" s="437">
        <f>SUM(W5:W9)</f>
        <v>96</v>
      </c>
      <c r="X11" s="82">
        <f>115/148</f>
        <v>0.77702702702702697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X11"/>
  <sheetViews>
    <sheetView workbookViewId="0">
      <selection activeCell="I31" sqref="I31"/>
    </sheetView>
  </sheetViews>
  <sheetFormatPr baseColWidth="10" defaultColWidth="8.7109375" defaultRowHeight="15"/>
  <cols>
    <col min="10" max="10" width="8.7109375" customWidth="1"/>
  </cols>
  <sheetData>
    <row r="1" spans="1:24">
      <c r="A1" s="1" t="s">
        <v>187</v>
      </c>
    </row>
    <row r="2" spans="1:24" ht="15.75" thickBot="1"/>
    <row r="3" spans="1:24" ht="15.75" thickBot="1">
      <c r="A3" s="143"/>
      <c r="B3" s="85"/>
      <c r="C3" s="144"/>
      <c r="D3" s="486" t="s">
        <v>260</v>
      </c>
      <c r="E3" s="487"/>
      <c r="F3" s="488"/>
      <c r="G3" s="477" t="s">
        <v>261</v>
      </c>
      <c r="H3" s="478"/>
      <c r="I3" s="479"/>
      <c r="J3" s="307" t="s">
        <v>262</v>
      </c>
      <c r="K3" s="299"/>
      <c r="L3" s="308"/>
      <c r="M3" s="245"/>
      <c r="N3" s="244" t="s">
        <v>263</v>
      </c>
      <c r="O3" s="246"/>
      <c r="P3" s="145"/>
      <c r="Q3" s="65" t="s">
        <v>264</v>
      </c>
      <c r="R3" s="208"/>
      <c r="S3" s="147"/>
      <c r="T3" s="101" t="s">
        <v>265</v>
      </c>
      <c r="U3" s="201"/>
      <c r="V3" s="202"/>
      <c r="W3" s="71" t="s">
        <v>266</v>
      </c>
      <c r="X3" s="204"/>
    </row>
    <row r="4" spans="1:24" ht="15.75" thickBot="1">
      <c r="A4" s="86" t="s">
        <v>267</v>
      </c>
      <c r="B4" s="207"/>
      <c r="C4" s="152"/>
      <c r="D4" s="493" t="s">
        <v>11</v>
      </c>
      <c r="E4" s="494" t="s">
        <v>12</v>
      </c>
      <c r="F4" s="495" t="s">
        <v>13</v>
      </c>
      <c r="G4" s="489" t="s">
        <v>11</v>
      </c>
      <c r="H4" s="490" t="s">
        <v>12</v>
      </c>
      <c r="I4" s="491" t="s">
        <v>13</v>
      </c>
      <c r="J4" s="359" t="s">
        <v>11</v>
      </c>
      <c r="K4" s="302" t="s">
        <v>12</v>
      </c>
      <c r="L4" s="361" t="s">
        <v>13</v>
      </c>
      <c r="M4" s="613" t="s">
        <v>15</v>
      </c>
      <c r="N4" s="614" t="s">
        <v>12</v>
      </c>
      <c r="O4" s="615" t="s">
        <v>13</v>
      </c>
      <c r="P4" s="145" t="s">
        <v>15</v>
      </c>
      <c r="Q4" s="452" t="s">
        <v>12</v>
      </c>
      <c r="R4" s="602" t="s">
        <v>13</v>
      </c>
      <c r="S4" s="147" t="s">
        <v>15</v>
      </c>
      <c r="T4" s="453" t="s">
        <v>12</v>
      </c>
      <c r="U4" s="605" t="s">
        <v>13</v>
      </c>
      <c r="V4" s="202" t="s">
        <v>15</v>
      </c>
      <c r="W4" s="454" t="s">
        <v>12</v>
      </c>
      <c r="X4" s="455" t="s">
        <v>13</v>
      </c>
    </row>
    <row r="5" spans="1:24">
      <c r="A5" s="44" t="s">
        <v>268</v>
      </c>
      <c r="B5" s="36" t="s">
        <v>269</v>
      </c>
      <c r="C5" s="36"/>
      <c r="D5" s="514">
        <v>18</v>
      </c>
      <c r="E5" s="515">
        <v>15</v>
      </c>
      <c r="F5" s="516">
        <f>E5/D5</f>
        <v>0.83333333333333337</v>
      </c>
      <c r="G5" s="523">
        <v>16</v>
      </c>
      <c r="H5" s="524">
        <v>15</v>
      </c>
      <c r="I5" s="525">
        <f>H5/G5</f>
        <v>0.9375</v>
      </c>
      <c r="J5" s="531">
        <v>26</v>
      </c>
      <c r="K5" s="532">
        <v>26</v>
      </c>
      <c r="L5" s="533">
        <f>K5/J5</f>
        <v>1</v>
      </c>
      <c r="M5" s="539">
        <v>22</v>
      </c>
      <c r="N5" s="540">
        <v>17</v>
      </c>
      <c r="O5" s="541"/>
      <c r="P5" s="547">
        <v>21</v>
      </c>
      <c r="Q5" s="548">
        <v>19</v>
      </c>
      <c r="R5" s="619">
        <v>0.9</v>
      </c>
      <c r="S5" s="620">
        <v>23</v>
      </c>
      <c r="T5" s="621">
        <v>21</v>
      </c>
      <c r="U5" s="622">
        <f>21/23</f>
        <v>0.91304347826086951</v>
      </c>
      <c r="V5" s="563">
        <v>16</v>
      </c>
      <c r="W5" s="564">
        <v>12</v>
      </c>
      <c r="X5" s="565">
        <f>12/16</f>
        <v>0.75</v>
      </c>
    </row>
    <row r="6" spans="1:24">
      <c r="A6" s="44" t="s">
        <v>270</v>
      </c>
      <c r="B6" s="36" t="s">
        <v>271</v>
      </c>
      <c r="C6" s="36"/>
      <c r="D6" s="517">
        <v>7</v>
      </c>
      <c r="E6" s="500">
        <v>6</v>
      </c>
      <c r="F6" s="518">
        <f t="shared" ref="F6:F11" si="0">E6/D6</f>
        <v>0.8571428571428571</v>
      </c>
      <c r="G6" s="526">
        <v>9</v>
      </c>
      <c r="H6" s="501">
        <v>9</v>
      </c>
      <c r="I6" s="527">
        <f t="shared" ref="I6:I11" si="1">H6/G6</f>
        <v>1</v>
      </c>
      <c r="J6" s="534">
        <v>10</v>
      </c>
      <c r="K6" s="502">
        <v>7</v>
      </c>
      <c r="L6" s="535">
        <f t="shared" ref="L6:L11" si="2">K6/J6</f>
        <v>0.7</v>
      </c>
      <c r="M6" s="542"/>
      <c r="N6" s="503"/>
      <c r="O6" s="543"/>
      <c r="P6" s="550"/>
      <c r="Q6" s="504"/>
      <c r="R6" s="603"/>
      <c r="S6" s="606"/>
      <c r="T6" s="601"/>
      <c r="U6" s="607"/>
      <c r="V6" s="568"/>
      <c r="W6" s="506"/>
      <c r="X6" s="567"/>
    </row>
    <row r="7" spans="1:24">
      <c r="A7" s="44" t="s">
        <v>272</v>
      </c>
      <c r="B7" s="36" t="s">
        <v>273</v>
      </c>
      <c r="C7" s="36"/>
      <c r="D7" s="517">
        <v>8</v>
      </c>
      <c r="E7" s="500">
        <v>6</v>
      </c>
      <c r="F7" s="518">
        <f t="shared" si="0"/>
        <v>0.75</v>
      </c>
      <c r="G7" s="526">
        <v>10</v>
      </c>
      <c r="H7" s="501">
        <v>9</v>
      </c>
      <c r="I7" s="527">
        <f t="shared" si="1"/>
        <v>0.9</v>
      </c>
      <c r="J7" s="534">
        <v>10</v>
      </c>
      <c r="K7" s="502">
        <v>8</v>
      </c>
      <c r="L7" s="535">
        <f t="shared" si="2"/>
        <v>0.8</v>
      </c>
      <c r="M7" s="542">
        <v>9</v>
      </c>
      <c r="N7" s="503">
        <v>8</v>
      </c>
      <c r="O7" s="543"/>
      <c r="P7" s="550">
        <v>8</v>
      </c>
      <c r="Q7" s="504">
        <v>8</v>
      </c>
      <c r="R7" s="603">
        <v>1</v>
      </c>
      <c r="S7" s="606">
        <v>4</v>
      </c>
      <c r="T7" s="601">
        <v>4</v>
      </c>
      <c r="U7" s="607">
        <v>1</v>
      </c>
      <c r="V7" s="568">
        <v>15</v>
      </c>
      <c r="W7" s="506">
        <v>15</v>
      </c>
      <c r="X7" s="567">
        <v>1</v>
      </c>
    </row>
    <row r="8" spans="1:24">
      <c r="A8" s="44" t="s">
        <v>274</v>
      </c>
      <c r="B8" s="36" t="s">
        <v>275</v>
      </c>
      <c r="C8" s="36"/>
      <c r="D8" s="517">
        <v>5</v>
      </c>
      <c r="E8" s="500">
        <v>2</v>
      </c>
      <c r="F8" s="518">
        <f t="shared" si="0"/>
        <v>0.4</v>
      </c>
      <c r="G8" s="526">
        <v>21</v>
      </c>
      <c r="H8" s="501">
        <v>19</v>
      </c>
      <c r="I8" s="527">
        <f t="shared" si="1"/>
        <v>0.90476190476190477</v>
      </c>
      <c r="J8" s="534">
        <v>17</v>
      </c>
      <c r="K8" s="502">
        <v>16</v>
      </c>
      <c r="L8" s="535">
        <f t="shared" si="2"/>
        <v>0.94117647058823528</v>
      </c>
      <c r="M8" s="542">
        <v>24</v>
      </c>
      <c r="N8" s="503">
        <v>18</v>
      </c>
      <c r="O8" s="543"/>
      <c r="P8" s="550">
        <v>24</v>
      </c>
      <c r="Q8" s="504">
        <v>19</v>
      </c>
      <c r="R8" s="603">
        <v>0.79</v>
      </c>
      <c r="S8" s="606">
        <v>17</v>
      </c>
      <c r="T8" s="601">
        <v>15</v>
      </c>
      <c r="U8" s="607">
        <f>15/17</f>
        <v>0.88235294117647056</v>
      </c>
      <c r="V8" s="568">
        <v>24</v>
      </c>
      <c r="W8" s="506">
        <v>22</v>
      </c>
      <c r="X8" s="567">
        <f>22/24</f>
        <v>0.91666666666666663</v>
      </c>
    </row>
    <row r="9" spans="1:24">
      <c r="A9" s="44" t="s">
        <v>276</v>
      </c>
      <c r="B9" s="36" t="s">
        <v>277</v>
      </c>
      <c r="C9" s="36"/>
      <c r="D9" s="517">
        <v>7</v>
      </c>
      <c r="E9" s="500">
        <v>7</v>
      </c>
      <c r="F9" s="518">
        <f t="shared" si="0"/>
        <v>1</v>
      </c>
      <c r="G9" s="526">
        <v>9</v>
      </c>
      <c r="H9" s="501">
        <v>9</v>
      </c>
      <c r="I9" s="527">
        <f t="shared" si="1"/>
        <v>1</v>
      </c>
      <c r="J9" s="534">
        <v>7</v>
      </c>
      <c r="K9" s="502">
        <v>7</v>
      </c>
      <c r="L9" s="535">
        <f t="shared" si="2"/>
        <v>1</v>
      </c>
      <c r="M9" s="542">
        <v>4</v>
      </c>
      <c r="N9" s="503">
        <v>4</v>
      </c>
      <c r="O9" s="543"/>
      <c r="P9" s="550">
        <v>2</v>
      </c>
      <c r="Q9" s="504">
        <v>2</v>
      </c>
      <c r="R9" s="603">
        <v>1</v>
      </c>
      <c r="S9" s="606">
        <v>18</v>
      </c>
      <c r="T9" s="601">
        <v>18</v>
      </c>
      <c r="U9" s="607">
        <v>1</v>
      </c>
      <c r="V9" s="568">
        <v>15</v>
      </c>
      <c r="W9" s="506">
        <v>15</v>
      </c>
      <c r="X9" s="567">
        <v>1</v>
      </c>
    </row>
    <row r="10" spans="1:24" ht="15.75" thickBot="1">
      <c r="A10" s="153" t="s">
        <v>278</v>
      </c>
      <c r="B10" s="156" t="s">
        <v>279</v>
      </c>
      <c r="C10" s="156"/>
      <c r="D10" s="520">
        <v>4</v>
      </c>
      <c r="E10" s="521">
        <v>3</v>
      </c>
      <c r="F10" s="522">
        <f t="shared" si="0"/>
        <v>0.75</v>
      </c>
      <c r="G10" s="528">
        <v>56</v>
      </c>
      <c r="H10" s="529">
        <v>22</v>
      </c>
      <c r="I10" s="530">
        <f t="shared" si="1"/>
        <v>0.39285714285714285</v>
      </c>
      <c r="J10" s="536">
        <v>42</v>
      </c>
      <c r="K10" s="537">
        <v>17</v>
      </c>
      <c r="L10" s="538">
        <f t="shared" si="2"/>
        <v>0.40476190476190477</v>
      </c>
      <c r="M10" s="544">
        <v>34</v>
      </c>
      <c r="N10" s="545">
        <v>16</v>
      </c>
      <c r="O10" s="546"/>
      <c r="P10" s="552">
        <v>41</v>
      </c>
      <c r="Q10" s="553">
        <v>21</v>
      </c>
      <c r="R10" s="604">
        <v>0.51</v>
      </c>
      <c r="S10" s="608">
        <v>48</v>
      </c>
      <c r="T10" s="609">
        <v>22</v>
      </c>
      <c r="U10" s="610">
        <f>22/48</f>
        <v>0.45833333333333331</v>
      </c>
      <c r="V10" s="611">
        <v>51</v>
      </c>
      <c r="W10" s="612">
        <v>16</v>
      </c>
      <c r="X10" s="571">
        <f>16/51</f>
        <v>0.31372549019607843</v>
      </c>
    </row>
    <row r="11" spans="1:24" ht="15.75" thickBot="1">
      <c r="A11" s="157"/>
      <c r="B11" s="158" t="s">
        <v>47</v>
      </c>
      <c r="C11" s="314"/>
      <c r="D11" s="616">
        <f>SUM(D5:D10)</f>
        <v>49</v>
      </c>
      <c r="E11" s="158">
        <f>SUM(E5:E10)</f>
        <v>39</v>
      </c>
      <c r="F11" s="595">
        <f t="shared" si="0"/>
        <v>0.79591836734693877</v>
      </c>
      <c r="G11" s="617">
        <f>SUM(G5:G10)</f>
        <v>121</v>
      </c>
      <c r="H11" s="618">
        <f>SUM(H5:H10)</f>
        <v>83</v>
      </c>
      <c r="I11" s="598">
        <f t="shared" si="1"/>
        <v>0.68595041322314054</v>
      </c>
      <c r="J11" s="313">
        <f>SUM(J5:J10)</f>
        <v>112</v>
      </c>
      <c r="K11" s="304">
        <f>SUM(K5:K10)</f>
        <v>81</v>
      </c>
      <c r="L11" s="443">
        <f t="shared" si="2"/>
        <v>0.7232142857142857</v>
      </c>
      <c r="M11" s="247">
        <f>SUM(M5:M10)</f>
        <v>93</v>
      </c>
      <c r="N11" s="248">
        <f>SUM(N5:N10)</f>
        <v>63</v>
      </c>
      <c r="O11" s="283">
        <v>0.67</v>
      </c>
      <c r="P11" s="159">
        <f>SUM(P5:P10)</f>
        <v>96</v>
      </c>
      <c r="Q11" s="75">
        <f>SUM(Q5:Q10)</f>
        <v>69</v>
      </c>
      <c r="R11" s="212">
        <v>0.72</v>
      </c>
      <c r="S11" s="422">
        <v>110</v>
      </c>
      <c r="T11" s="422">
        <v>80</v>
      </c>
      <c r="U11" s="447">
        <f>80/110</f>
        <v>0.72727272727272729</v>
      </c>
      <c r="V11" s="160">
        <v>121</v>
      </c>
      <c r="W11" s="160">
        <v>80</v>
      </c>
      <c r="X11" s="161">
        <f>80/121</f>
        <v>0.66115702479338845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2C6D564A13E2E48B557FCF1C61227A7" ma:contentTypeVersion="6" ma:contentTypeDescription="Opprett et nytt dokument." ma:contentTypeScope="" ma:versionID="b18df00cc5c4cf865a74a1cd320029e6">
  <xsd:schema xmlns:xsd="http://www.w3.org/2001/XMLSchema" xmlns:xs="http://www.w3.org/2001/XMLSchema" xmlns:p="http://schemas.microsoft.com/office/2006/metadata/properties" xmlns:ns2="ce9f5187-565f-4f26-b0f8-655e8f5ad056" xmlns:ns3="d776c21b-d63a-4bdf-8b86-fc78c83f599e" targetNamespace="http://schemas.microsoft.com/office/2006/metadata/properties" ma:root="true" ma:fieldsID="039357a32d57ebcc07a06aecbe6fadfa" ns2:_="" ns3:_="">
    <xsd:import namespace="ce9f5187-565f-4f26-b0f8-655e8f5ad056"/>
    <xsd:import namespace="d776c21b-d63a-4bdf-8b86-fc78c83f599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9f5187-565f-4f26-b0f8-655e8f5ad05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76c21b-d63a-4bdf-8b86-fc78c83f599e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8CF711C-3B45-4CBB-AB9C-0ADB2A8FC93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FC23FDD-1F44-4CAD-9733-E34F7EB31B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e9f5187-565f-4f26-b0f8-655e8f5ad056"/>
    <ds:schemaRef ds:uri="d776c21b-d63a-4bdf-8b86-fc78c83f599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88DC1F8-D9C8-4629-91EC-A638FAAF31C8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463b6811-b0a4-4b2a-b932-72c4c970c5d2}" enabled="0" method="" siteId="{463b6811-b0a4-4b2a-b932-72c4c970c5d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4</vt:i4>
      </vt:variant>
    </vt:vector>
  </HeadingPairs>
  <TitlesOfParts>
    <vt:vector size="4" baseType="lpstr">
      <vt:lpstr>MiR og LMM</vt:lpstr>
      <vt:lpstr>IKRS</vt:lpstr>
      <vt:lpstr>HUMR</vt:lpstr>
      <vt:lpstr>SERI</vt:lpstr>
    </vt:vector>
  </TitlesOfParts>
  <Manager/>
  <Company>Universitetet i Oslo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 Margit Tvenge</dc:creator>
  <cp:keywords/>
  <dc:description/>
  <cp:lastModifiedBy>Kristin Steen Slåttå</cp:lastModifiedBy>
  <cp:revision/>
  <dcterms:created xsi:type="dcterms:W3CDTF">2022-01-20T08:49:17Z</dcterms:created>
  <dcterms:modified xsi:type="dcterms:W3CDTF">2026-01-26T15:00:19Z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0x01010022C6D564A13E2E48B557FCF1C61227A7</vt:lpwstr>
  </property>
</Properties>
</file>